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<sst xmlns="http://schemas.openxmlformats.org/spreadsheetml/2006/main" count="145" uniqueCount="140">
  <si>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</si>
  <si>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</si>
  <si>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</si>
  <si>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</si>
  <si>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</si>
  <si>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</si>
  <si>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</si>
  <si>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</si>
  <si>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</si>
  <si>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</si>
  <si>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</si>
  <si>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</si>
  <si>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</si>
  <si>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</si>
  <si>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</si>
  <si>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</si>
  <si>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</si>
  <si>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</si>
  <si>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</si>
  <si>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</si>
  <si>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</si>
  <si>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</si>
  <si>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</si>
  <si>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</si>
  <si>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</si>
  <si>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</si>
  <si>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</si>
  <si>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</si>
  <si>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</si>
  <si>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</si>
  <si>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</si>
  <si>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</si>
  <si>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</si>
  <si>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</si>
  <si>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</si>
  <si>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</si>
  <si>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</si>
  <si>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</si>
  <si>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</si>
  <si>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</si>
  <si>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</si>
  <si>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</si>
  <si>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</si>
  <si>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</si>
  <si>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</si>
  <si>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</si>
  <si>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</si>
  <si>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</si>
  <si>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</si>
  <si>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</si>
  <si>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</si>
  <si>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</si>
  <si>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</si>
  <si>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</si>
  <si>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</si>
  <si>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</si>
  <si>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</si>
  <si>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</si>
  <si>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</si>
  <si>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</si>
  <si>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</si>
  <si>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</si>
  <si>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</si>
  <si>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</si>
  <si>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</si>
  <si>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</si>
  <si>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</si>
  <si>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</si>
  <si>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</si>
  <si>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</si>
  <si>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</si>
  <si>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</si>
  <si>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</si>
  <si>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</si>
  <si>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</si>
  <si>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</si>
  <si>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</si>
  <si>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</si>
  <si>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</si>
  <si>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</si>
  <si>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</si>
  <si>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</si>
  <si>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</si>
  <si>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</si>
  <si>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</si>
  <si>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</si>
  <si>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</si>
  <si>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</si>
  <si>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</si>
  <si>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</si>
  <si>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</si>
  <si>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</si>
  <si>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</si>
  <si>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</si>
  <si>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</si>
  <si>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</si>
  <si>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</si>
  <si>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</si>
  <si>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</si>
  <si>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</si>
  <si>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</si>
  <si>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</si>
  <si>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</si>
  <si>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</si>
  <si>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</si>
  <si>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</si>
  <si>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</si>
  <si>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</si>
  <si>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</si>
  <si>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</si>
  <si>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</si>
  <si>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</si>
  <si>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</si>
  <si>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</si>
  <si>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</si>
  <si>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</si>
  <si>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</si>
  <si>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</si>
  <si>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</si>
  <si>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звірено з місц бюджетами  10.08</t>
  </si>
  <si>
    <t>Відсоток виконання до плану 9 місяців</t>
  </si>
  <si>
    <t>Залишок призначень до плану 9 місяців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</si>
  <si>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</si>
  <si>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</si>
  <si>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</si>
  <si>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</si>
  <si>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</si>
  <si>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</si>
  <si>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</si>
  <si>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</si>
  <si>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</si>
  <si>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</si>
  <si>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</si>
  <si>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</si>
  <si>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</si>
  <si>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</si>
  <si>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</si>
  <si>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</si>
  <si>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</si>
  <si>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Касові видатки станом на 11.09.18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</si>
</sst>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2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3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8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8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21" sqref="AK2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94" t="s">
        <v>14</v>
      </c>
      <c r="E1" s="95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8" t="s">
        <v>16</v>
      </c>
      <c r="B3" s="98"/>
      <c r="C3" s="98"/>
      <c r="D3" s="98"/>
      <c r="E3" s="98"/>
      <c r="F3" s="98"/>
      <c r="G3" s="98"/>
      <c r="H3" s="98"/>
      <c r="I3" s="98"/>
    </row>
    <row r="4" spans="1:9" ht="20.25" customHeight="1">
      <c r="A4" s="97" t="s">
        <v>15</v>
      </c>
      <c r="B4" s="97"/>
      <c r="C4" s="97"/>
      <c r="D4" s="97"/>
      <c r="E4" s="97"/>
      <c r="F4" s="97"/>
      <c r="G4" s="97"/>
      <c r="H4" s="97"/>
      <c r="I4" s="97"/>
    </row>
    <row r="5" spans="1:13" ht="20.25" customHeight="1">
      <c r="A5" s="25"/>
      <c r="B5" s="25"/>
      <c r="C5" s="25"/>
      <c r="D5" s="25"/>
      <c r="E5" s="25"/>
      <c r="F5" s="25"/>
      <c r="G5" s="25"/>
      <c r="M5" s="84" t="s">
        <v>119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6" t="s">
        <v>3</v>
      </c>
      <c r="B7" s="13"/>
      <c r="C7" s="96" t="s">
        <v>0</v>
      </c>
      <c r="D7" s="90" t="s">
        <v>1</v>
      </c>
      <c r="E7" s="90" t="s">
        <v>19</v>
      </c>
      <c r="F7" s="90" t="s">
        <v>112</v>
      </c>
      <c r="G7" s="14" t="s">
        <v>113</v>
      </c>
      <c r="H7" s="86" t="s">
        <v>139</v>
      </c>
      <c r="I7" s="88" t="s">
        <v>2</v>
      </c>
      <c r="J7" s="102" t="s">
        <v>120</v>
      </c>
    </row>
    <row r="8" spans="1:25" ht="39.75" customHeight="1">
      <c r="A8" s="96"/>
      <c r="B8" s="1" t="s">
        <v>20</v>
      </c>
      <c r="C8" s="96"/>
      <c r="D8" s="90"/>
      <c r="E8" s="90"/>
      <c r="F8" s="90"/>
      <c r="G8" s="53" t="s">
        <v>114</v>
      </c>
      <c r="H8" s="87"/>
      <c r="I8" s="89"/>
      <c r="J8" s="103"/>
      <c r="L8" s="106" t="s">
        <v>121</v>
      </c>
      <c r="M8" s="88" t="s">
        <v>26</v>
      </c>
      <c r="N8" s="102" t="s">
        <v>27</v>
      </c>
      <c r="O8" s="88" t="s">
        <v>28</v>
      </c>
      <c r="P8" s="88" t="s">
        <v>29</v>
      </c>
      <c r="Q8" s="88" t="s">
        <v>30</v>
      </c>
      <c r="R8" s="88" t="s">
        <v>31</v>
      </c>
      <c r="S8" s="88" t="s">
        <v>32</v>
      </c>
      <c r="T8" s="88" t="s">
        <v>33</v>
      </c>
      <c r="U8" s="88" t="s">
        <v>34</v>
      </c>
      <c r="V8" s="88" t="s">
        <v>35</v>
      </c>
      <c r="W8" s="88" t="s">
        <v>36</v>
      </c>
      <c r="X8" s="88" t="s">
        <v>37</v>
      </c>
      <c r="Y8" s="88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7"/>
      <c r="M9" s="89"/>
      <c r="N9" s="10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72914015.03999999</v>
      </c>
      <c r="I11" s="38">
        <f aca="true" t="shared" si="0" ref="I11:I18">H11/D11*100</f>
        <v>37.8179214722206</v>
      </c>
      <c r="J11" s="38">
        <f>(H11/(M11+N11+O11+P11+Q11+R11+S11+O29+P29+Q29+R29+S29+T11+T29+U11+U29))*100</f>
        <v>87.29374822168386</v>
      </c>
      <c r="K11" s="41"/>
      <c r="L11" s="50">
        <f>M11+N11+O11+P11+Q11+R11+S11+T11+U11-H12</f>
        <v>2003649.7700000033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5190973.51</v>
      </c>
      <c r="R11" s="47">
        <f t="shared" si="1"/>
        <v>5561489.15</v>
      </c>
      <c r="S11" s="47">
        <f t="shared" si="1"/>
        <v>8638847.79</v>
      </c>
      <c r="T11" s="47">
        <f t="shared" si="1"/>
        <v>7188172.15</v>
      </c>
      <c r="U11" s="47">
        <f t="shared" si="1"/>
        <v>10201085.15</v>
      </c>
      <c r="V11" s="47">
        <f t="shared" si="1"/>
        <v>3504154.1500000004</v>
      </c>
      <c r="W11" s="47">
        <f t="shared" si="1"/>
        <v>4919154.15</v>
      </c>
      <c r="X11" s="47">
        <f t="shared" si="1"/>
        <v>60178548.15</v>
      </c>
      <c r="Y11" s="48">
        <f>SUM(M11:X11)</f>
        <v>121908716.28999999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51303210.06999999</v>
      </c>
      <c r="I12" s="55">
        <f t="shared" si="0"/>
        <v>42.08329939916553</v>
      </c>
      <c r="J12" s="80">
        <f>(H12/(M11+N11+O11+P11+Q11+R11+S11+T11+U11))*100</f>
        <v>96.24129094076459</v>
      </c>
      <c r="L12" s="46">
        <f>(M12+N12+O12+P12+Q12+R12+S12+T12+U12)-(H13+H16+H17+H18)</f>
        <v>415797.26000000536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942800+2250000+500000+89264-112000+3950000</f>
        <v>7620064</v>
      </c>
      <c r="V12" s="45">
        <f>942800+2500000-120000-3300000</f>
        <v>22800</v>
      </c>
      <c r="W12" s="45">
        <f>936600+1500000-650000</f>
        <v>1786600</v>
      </c>
      <c r="X12" s="45">
        <f>342435+900000-14000+6745527+14617000</f>
        <v>22590962</v>
      </c>
      <c r="Y12" s="46">
        <f>SUM(M12:X12)</f>
        <v>49766762</v>
      </c>
      <c r="Z12" s="49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1">
        <f>((H13+H16+H17+H18)/(M12+N12+O12+P12+Q12+R12+S12+T12+U12))*100</f>
        <v>98.36083456856312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81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</f>
        <v>2409543.83</v>
      </c>
      <c r="I16" s="17">
        <f t="shared" si="0"/>
        <v>40.20060445793987</v>
      </c>
      <c r="J16" s="9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</f>
        <v>2778924.27</v>
      </c>
      <c r="I17" s="17">
        <f t="shared" si="0"/>
        <v>63.338243643495574</v>
      </c>
      <c r="J17" s="9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93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26352607.33</v>
      </c>
      <c r="I21" s="33">
        <f>H21/D21*100</f>
        <v>36.52882374667368</v>
      </c>
      <c r="J21" s="91">
        <f>(H21/(M21+N21+O21+P21+Q21+R21+S21+T21+U21))*100</f>
        <v>94.31701368161879</v>
      </c>
      <c r="L21" s="51">
        <f>(M21+N21+O21+P21+Q21+R21+S21+T21+U21)-H21</f>
        <v>1587852.509999998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4124354.15-100000-2000000-500000+20000+30000</f>
        <v>1574354.15</v>
      </c>
      <c r="R21" s="45">
        <f>4624354.15-2500000+1000000+190005</f>
        <v>3314359.1500000004</v>
      </c>
      <c r="S21" s="45">
        <f>5124354.15-3000000+500000+326666-544000-257000+722086.65+546506.35+964254</f>
        <v>4382867.15</v>
      </c>
      <c r="T21" s="45">
        <f>5324354.15-3500000+616667-722086.65-577913.35+4487351</f>
        <v>5628372.15</v>
      </c>
      <c r="U21" s="45">
        <f>4924354.15-3000000+656667</f>
        <v>2581021.1500000004</v>
      </c>
      <c r="V21" s="45">
        <f>4324354.15-2500000+1400000+257000</f>
        <v>3481354.1500000004</v>
      </c>
      <c r="W21" s="45">
        <f>3424354.15-1500000+3500000+544000-2835800</f>
        <v>3132554.1500000004</v>
      </c>
      <c r="X21" s="45">
        <f>3124354.15-900000+3365442-2835810+34833600</f>
        <v>37587586.15</v>
      </c>
      <c r="Y21" s="46">
        <f t="shared" si="2"/>
        <v>72141954.28999999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</f>
        <v>11399790.170000002</v>
      </c>
      <c r="I22" s="21">
        <f aca="true" t="shared" si="5" ref="I22:I28">H22/D22*100</f>
        <v>45.07998798240306</v>
      </c>
      <c r="J22" s="9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</f>
        <v>303847.29</v>
      </c>
      <c r="I23" s="40">
        <f t="shared" si="5"/>
        <v>13.952504745133751</v>
      </c>
      <c r="J23" s="92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</f>
        <v>997128.5899999999</v>
      </c>
      <c r="I24" s="40">
        <f t="shared" si="5"/>
        <v>91.44180843546349</v>
      </c>
      <c r="J24" s="92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</f>
        <v>557652.41</v>
      </c>
      <c r="I25" s="21">
        <f t="shared" si="5"/>
        <v>40.66864832334896</v>
      </c>
      <c r="J25" s="92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</f>
        <v>1453642.6</v>
      </c>
      <c r="I26" s="40">
        <f t="shared" si="5"/>
        <v>29.44551401311276</v>
      </c>
      <c r="J26" s="92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</f>
        <v>86531.11</v>
      </c>
      <c r="I27" s="40">
        <f t="shared" si="5"/>
        <v>5.612116958311839</v>
      </c>
      <c r="J27" s="92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</f>
        <v>11554015.16</v>
      </c>
      <c r="I28" s="21">
        <f t="shared" si="5"/>
        <v>32.331523648302564</v>
      </c>
      <c r="J28" s="9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85">E29+F29</f>
        <v>70894093.07000001</v>
      </c>
      <c r="E29" s="21"/>
      <c r="F29" s="55">
        <f aca="true" t="shared" si="7" ref="F29:F85">G29</f>
        <v>70894093.07000001</v>
      </c>
      <c r="G29" s="55">
        <f>SUM(G30:G85)</f>
        <v>70894093.07000001</v>
      </c>
      <c r="H29" s="55">
        <f>SUM(H30:H85)</f>
        <v>21610804.970000003</v>
      </c>
      <c r="I29" s="55">
        <f>H29/D29*100</f>
        <v>30.483223685027955</v>
      </c>
      <c r="J29" s="80">
        <f>(H29/(M29+N29+O29+P29+Q29+R29+S29+T29+U29))*100</f>
        <v>71.5108166249995</v>
      </c>
      <c r="L29" s="51">
        <f>(M29+N29+O29+P29+Q29+R29+S29+T29+U29)-H29</f>
        <v>8609525.309999999</v>
      </c>
      <c r="M29" s="66">
        <f>SUM(M30:M85)</f>
        <v>0</v>
      </c>
      <c r="N29" s="66">
        <f aca="true" t="shared" si="8" ref="N29:X29">SUM(N30:N85)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2846064.12</v>
      </c>
      <c r="S29" s="74">
        <f t="shared" si="8"/>
        <v>8179235.73</v>
      </c>
      <c r="T29" s="74">
        <f t="shared" si="8"/>
        <v>2414356.55</v>
      </c>
      <c r="U29" s="74">
        <f t="shared" si="8"/>
        <v>2075865</v>
      </c>
      <c r="V29" s="74">
        <f t="shared" si="8"/>
        <v>7124039</v>
      </c>
      <c r="W29" s="74">
        <f t="shared" si="8"/>
        <v>4525753.37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-28562475.000000007</v>
      </c>
    </row>
    <row r="30" spans="1:26" ht="18.75">
      <c r="A30" s="26"/>
      <c r="B30" s="27"/>
      <c r="C30" s="56" t="s">
        <v>40</v>
      </c>
      <c r="D30" s="17">
        <f t="shared" si="6"/>
        <v>1109220</v>
      </c>
      <c r="E30" s="21"/>
      <c r="F30" s="57">
        <f t="shared" si="7"/>
        <v>1109220</v>
      </c>
      <c r="G30" s="57">
        <f>150000+959220</f>
        <v>1109220</v>
      </c>
      <c r="H30" s="57">
        <f>26000+27000</f>
        <v>53000</v>
      </c>
      <c r="I30" s="17">
        <f aca="true" t="shared" si="10" ref="I30:I93">H30/D30*100</f>
        <v>4.778132381312995</v>
      </c>
      <c r="J30" s="52">
        <f>(H30/(M30+N30+O30+P30+Q30+R30+S30+T30+U30))*100</f>
        <v>35.333333333333336</v>
      </c>
      <c r="L30" s="46">
        <f>(M30+N30+O30+P30+Q30+R30+S30+T30+U30)-H30</f>
        <v>97000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-959220</v>
      </c>
    </row>
    <row r="31" spans="1:26" ht="18.75">
      <c r="A31" s="26"/>
      <c r="B31" s="27"/>
      <c r="C31" s="56" t="s">
        <v>41</v>
      </c>
      <c r="D31" s="17">
        <f t="shared" si="6"/>
        <v>407256</v>
      </c>
      <c r="E31" s="21"/>
      <c r="F31" s="57">
        <f t="shared" si="7"/>
        <v>407256</v>
      </c>
      <c r="G31" s="57">
        <f>130000+277256</f>
        <v>407256</v>
      </c>
      <c r="H31" s="57">
        <f>20000</f>
        <v>20000</v>
      </c>
      <c r="I31" s="17">
        <f t="shared" si="10"/>
        <v>4.910915984049345</v>
      </c>
      <c r="J31" s="52">
        <f aca="true" t="shared" si="11" ref="J31:J85">(H31/(M31+N31+O31+P31+Q31+R31+S31+T31+U31))*100</f>
        <v>15.384615384615385</v>
      </c>
      <c r="L31" s="46">
        <f aca="true" t="shared" si="12" ref="L31:L105">(M31+N31+O31+P31+Q31+R31+S31+T31+U31)-H31</f>
        <v>110000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-277256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47.748713851157184</v>
      </c>
      <c r="L32" s="46">
        <f t="shared" si="12"/>
        <v>596392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400000-5000-395000+55000+121835.45-171000</f>
        <v>5835.450000000012</v>
      </c>
      <c r="T32" s="70">
        <f>69556.55+300000-369000</f>
        <v>556.5499999999884</v>
      </c>
      <c r="U32" s="71">
        <f>590000</f>
        <v>590000</v>
      </c>
      <c r="V32" s="71">
        <f>175000-175000+540000-540000</f>
        <v>0</v>
      </c>
      <c r="W32" s="71"/>
      <c r="X32" s="71">
        <f>50000-50000</f>
        <v>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76.92307692307693</v>
      </c>
      <c r="L34" s="46">
        <f t="shared" si="12"/>
        <v>150000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18.75">
      <c r="A36" s="26"/>
      <c r="B36" s="27"/>
      <c r="C36" s="56" t="s">
        <v>122</v>
      </c>
      <c r="D36" s="17">
        <f t="shared" si="6"/>
        <v>350000</v>
      </c>
      <c r="E36" s="21"/>
      <c r="F36" s="57">
        <f t="shared" si="7"/>
        <v>350000</v>
      </c>
      <c r="G36" s="57">
        <v>350000</v>
      </c>
      <c r="H36" s="57"/>
      <c r="I36" s="17"/>
      <c r="J36" s="52"/>
      <c r="L36" s="46"/>
      <c r="M36" s="13"/>
      <c r="N36" s="13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46"/>
      <c r="Z36" s="49">
        <f t="shared" si="9"/>
        <v>-350000</v>
      </c>
    </row>
    <row r="37" spans="1:26" ht="37.5">
      <c r="A37" s="26"/>
      <c r="B37" s="27"/>
      <c r="C37" s="56" t="s">
        <v>46</v>
      </c>
      <c r="D37" s="17">
        <f t="shared" si="6"/>
        <v>328000</v>
      </c>
      <c r="E37" s="21"/>
      <c r="F37" s="57">
        <f t="shared" si="7"/>
        <v>328000</v>
      </c>
      <c r="G37" s="57">
        <f>294000+34000</f>
        <v>328000</v>
      </c>
      <c r="H37" s="57">
        <f>270000+49985.45</f>
        <v>319985.45</v>
      </c>
      <c r="I37" s="17">
        <f t="shared" si="10"/>
        <v>97.55653963414635</v>
      </c>
      <c r="J37" s="52">
        <f t="shared" si="11"/>
        <v>97.55653963414635</v>
      </c>
      <c r="L37" s="46">
        <f t="shared" si="12"/>
        <v>8014.549999999988</v>
      </c>
      <c r="M37" s="13"/>
      <c r="N37" s="13"/>
      <c r="O37" s="70"/>
      <c r="P37" s="70">
        <f>294000-294000+39000</f>
        <v>39000</v>
      </c>
      <c r="Q37" s="70">
        <f>255000</f>
        <v>255000</v>
      </c>
      <c r="R37" s="70">
        <f>34000</f>
        <v>34000</v>
      </c>
      <c r="S37" s="70">
        <f>294000-294000+34000-34000</f>
        <v>0</v>
      </c>
      <c r="T37" s="70"/>
      <c r="U37" s="71"/>
      <c r="V37" s="71"/>
      <c r="W37" s="71"/>
      <c r="X37" s="71"/>
      <c r="Y37" s="46">
        <f t="shared" si="2"/>
        <v>328000</v>
      </c>
      <c r="Z37" s="49">
        <f t="shared" si="9"/>
        <v>0</v>
      </c>
    </row>
    <row r="38" spans="1:26" ht="37.5">
      <c r="A38" s="26"/>
      <c r="B38" s="27"/>
      <c r="C38" s="56" t="s">
        <v>47</v>
      </c>
      <c r="D38" s="17">
        <f t="shared" si="6"/>
        <v>330316.47</v>
      </c>
      <c r="E38" s="21"/>
      <c r="F38" s="57">
        <f t="shared" si="7"/>
        <v>330316.47</v>
      </c>
      <c r="G38" s="57">
        <v>330316.47</v>
      </c>
      <c r="H38" s="57"/>
      <c r="I38" s="39">
        <f t="shared" si="10"/>
        <v>0</v>
      </c>
      <c r="J38" s="52">
        <f t="shared" si="11"/>
        <v>0</v>
      </c>
      <c r="L38" s="46">
        <f t="shared" si="12"/>
        <v>2316.469999999972</v>
      </c>
      <c r="M38" s="13"/>
      <c r="N38" s="13"/>
      <c r="O38" s="70"/>
      <c r="P38" s="70"/>
      <c r="Q38" s="70">
        <f>330316.47-245411.87-72000-12000</f>
        <v>904.5999999999767</v>
      </c>
      <c r="R38" s="70"/>
      <c r="S38" s="70">
        <f>245411.87+72000+12000-300000</f>
        <v>29411.869999999995</v>
      </c>
      <c r="T38" s="70">
        <f>300000</f>
        <v>300000</v>
      </c>
      <c r="U38" s="71">
        <f>-328000</f>
        <v>-328000</v>
      </c>
      <c r="V38" s="71">
        <f>278000</f>
        <v>278000</v>
      </c>
      <c r="W38" s="71"/>
      <c r="X38" s="71">
        <f>50000</f>
        <v>50000</v>
      </c>
      <c r="Y38" s="46">
        <f t="shared" si="2"/>
        <v>330316.47</v>
      </c>
      <c r="Z38" s="49">
        <f t="shared" si="9"/>
        <v>0</v>
      </c>
    </row>
    <row r="39" spans="1:26" ht="37.5">
      <c r="A39" s="26"/>
      <c r="B39" s="27"/>
      <c r="C39" s="56" t="s">
        <v>123</v>
      </c>
      <c r="D39" s="17">
        <f t="shared" si="6"/>
        <v>1550000</v>
      </c>
      <c r="E39" s="21"/>
      <c r="F39" s="57">
        <f t="shared" si="7"/>
        <v>1550000</v>
      </c>
      <c r="G39" s="57">
        <f>1550000</f>
        <v>1550000</v>
      </c>
      <c r="H39" s="57"/>
      <c r="I39" s="39"/>
      <c r="J39" s="52"/>
      <c r="L39" s="46"/>
      <c r="M39" s="13"/>
      <c r="N39" s="13"/>
      <c r="O39" s="70"/>
      <c r="P39" s="70"/>
      <c r="Q39" s="70"/>
      <c r="R39" s="70"/>
      <c r="S39" s="70"/>
      <c r="T39" s="70"/>
      <c r="U39" s="71"/>
      <c r="V39" s="71"/>
      <c r="W39" s="71"/>
      <c r="X39" s="71"/>
      <c r="Y39" s="46"/>
      <c r="Z39" s="49">
        <f t="shared" si="9"/>
        <v>-1550000</v>
      </c>
    </row>
    <row r="40" spans="1:26" ht="37.5">
      <c r="A40" s="26"/>
      <c r="B40" s="27"/>
      <c r="C40" s="56" t="s">
        <v>48</v>
      </c>
      <c r="D40" s="17">
        <f t="shared" si="6"/>
        <v>166000</v>
      </c>
      <c r="E40" s="21"/>
      <c r="F40" s="57">
        <f t="shared" si="7"/>
        <v>166000</v>
      </c>
      <c r="G40" s="57">
        <v>166000</v>
      </c>
      <c r="H40" s="57"/>
      <c r="I40" s="39">
        <f t="shared" si="10"/>
        <v>0</v>
      </c>
      <c r="J40" s="52" t="e">
        <f t="shared" si="11"/>
        <v>#DIV/0!</v>
      </c>
      <c r="L40" s="46">
        <f t="shared" si="12"/>
        <v>0</v>
      </c>
      <c r="M40" s="13"/>
      <c r="N40" s="13"/>
      <c r="O40" s="70"/>
      <c r="P40" s="70"/>
      <c r="Q40" s="70">
        <f>166000-166000</f>
        <v>0</v>
      </c>
      <c r="R40" s="70"/>
      <c r="S40" s="70">
        <f>166000-166000</f>
        <v>0</v>
      </c>
      <c r="T40" s="70"/>
      <c r="U40" s="71">
        <f>166000-166000</f>
        <v>0</v>
      </c>
      <c r="V40" s="71">
        <f>30000</f>
        <v>30000</v>
      </c>
      <c r="W40" s="71">
        <f>136000</f>
        <v>136000</v>
      </c>
      <c r="X40" s="71"/>
      <c r="Y40" s="46">
        <f t="shared" si="2"/>
        <v>166000</v>
      </c>
      <c r="Z40" s="49">
        <f t="shared" si="9"/>
        <v>0</v>
      </c>
    </row>
    <row r="41" spans="1:26" ht="18.75">
      <c r="A41" s="26"/>
      <c r="B41" s="27"/>
      <c r="C41" s="56" t="s">
        <v>49</v>
      </c>
      <c r="D41" s="17">
        <f t="shared" si="6"/>
        <v>251440</v>
      </c>
      <c r="E41" s="21"/>
      <c r="F41" s="57">
        <f t="shared" si="7"/>
        <v>251440</v>
      </c>
      <c r="G41" s="58">
        <f>200000+51440</f>
        <v>251440</v>
      </c>
      <c r="H41" s="57">
        <f>11000+145000</f>
        <v>156000</v>
      </c>
      <c r="I41" s="39">
        <f t="shared" si="10"/>
        <v>62.042634425707924</v>
      </c>
      <c r="J41" s="52">
        <f t="shared" si="11"/>
        <v>78</v>
      </c>
      <c r="L41" s="46">
        <f t="shared" si="12"/>
        <v>44000</v>
      </c>
      <c r="M41" s="13"/>
      <c r="N41" s="13"/>
      <c r="O41" s="70"/>
      <c r="P41" s="70">
        <f>15000-4000</f>
        <v>11000</v>
      </c>
      <c r="Q41" s="70"/>
      <c r="R41" s="70">
        <f>100000-100000</f>
        <v>0</v>
      </c>
      <c r="S41" s="70">
        <f>145000</f>
        <v>145000</v>
      </c>
      <c r="T41" s="70"/>
      <c r="U41" s="71">
        <f>85000+104000-145000</f>
        <v>44000</v>
      </c>
      <c r="V41" s="71"/>
      <c r="W41" s="71"/>
      <c r="X41" s="71"/>
      <c r="Y41" s="46">
        <f t="shared" si="2"/>
        <v>200000</v>
      </c>
      <c r="Z41" s="49">
        <f t="shared" si="9"/>
        <v>-51440</v>
      </c>
    </row>
    <row r="42" spans="1:26" ht="18.75">
      <c r="A42" s="26"/>
      <c r="B42" s="27"/>
      <c r="C42" s="56" t="s">
        <v>50</v>
      </c>
      <c r="D42" s="17">
        <f t="shared" si="6"/>
        <v>1588602</v>
      </c>
      <c r="E42" s="21"/>
      <c r="F42" s="57">
        <f t="shared" si="7"/>
        <v>1588602</v>
      </c>
      <c r="G42" s="57">
        <f>200000+1388602</f>
        <v>1588602</v>
      </c>
      <c r="H42" s="57">
        <f>28000+45000</f>
        <v>73000</v>
      </c>
      <c r="I42" s="17">
        <f t="shared" si="10"/>
        <v>4.59523530752196</v>
      </c>
      <c r="J42" s="52">
        <f t="shared" si="11"/>
        <v>36.5</v>
      </c>
      <c r="L42" s="46">
        <f t="shared" si="12"/>
        <v>127000</v>
      </c>
      <c r="M42" s="13"/>
      <c r="N42" s="13"/>
      <c r="O42" s="70"/>
      <c r="P42" s="70">
        <f>15000+13000</f>
        <v>28000</v>
      </c>
      <c r="Q42" s="70"/>
      <c r="R42" s="70">
        <f>100000-13000-67000</f>
        <v>20000</v>
      </c>
      <c r="S42" s="70">
        <f>25000</f>
        <v>25000</v>
      </c>
      <c r="T42" s="70"/>
      <c r="U42" s="71">
        <f>85000+67000-25000</f>
        <v>127000</v>
      </c>
      <c r="V42" s="71"/>
      <c r="W42" s="71"/>
      <c r="X42" s="71"/>
      <c r="Y42" s="46">
        <f t="shared" si="2"/>
        <v>200000</v>
      </c>
      <c r="Z42" s="49">
        <f t="shared" si="9"/>
        <v>-1388602</v>
      </c>
    </row>
    <row r="43" spans="1:26" ht="37.5">
      <c r="A43" s="26"/>
      <c r="B43" s="27"/>
      <c r="C43" s="56" t="s">
        <v>51</v>
      </c>
      <c r="D43" s="17">
        <f t="shared" si="6"/>
        <v>183000</v>
      </c>
      <c r="E43" s="21"/>
      <c r="F43" s="57">
        <f t="shared" si="7"/>
        <v>183000</v>
      </c>
      <c r="G43" s="57">
        <v>183000</v>
      </c>
      <c r="H43" s="57">
        <f>182577.11</f>
        <v>182577.11</v>
      </c>
      <c r="I43" s="17">
        <f t="shared" si="10"/>
        <v>99.768912568306</v>
      </c>
      <c r="J43" s="52">
        <f t="shared" si="11"/>
        <v>99.768912568306</v>
      </c>
      <c r="L43" s="46">
        <f t="shared" si="12"/>
        <v>422.89000000001397</v>
      </c>
      <c r="M43" s="13"/>
      <c r="N43" s="13"/>
      <c r="O43" s="70"/>
      <c r="P43" s="70">
        <v>183000</v>
      </c>
      <c r="Q43" s="70"/>
      <c r="R43" s="70"/>
      <c r="S43" s="70"/>
      <c r="T43" s="70"/>
      <c r="U43" s="71"/>
      <c r="V43" s="71"/>
      <c r="W43" s="71"/>
      <c r="X43" s="71"/>
      <c r="Y43" s="46">
        <f t="shared" si="2"/>
        <v>183000</v>
      </c>
      <c r="Z43" s="49">
        <f t="shared" si="9"/>
        <v>0</v>
      </c>
    </row>
    <row r="44" spans="1:26" ht="18.75">
      <c r="A44" s="26"/>
      <c r="B44" s="27"/>
      <c r="C44" s="56" t="s">
        <v>52</v>
      </c>
      <c r="D44" s="17">
        <f t="shared" si="6"/>
        <v>200000</v>
      </c>
      <c r="E44" s="21"/>
      <c r="F44" s="57">
        <f t="shared" si="7"/>
        <v>200000</v>
      </c>
      <c r="G44" s="57">
        <v>200000</v>
      </c>
      <c r="H44" s="57">
        <f>15000+115000</f>
        <v>130000</v>
      </c>
      <c r="I44" s="39">
        <f t="shared" si="10"/>
        <v>65</v>
      </c>
      <c r="J44" s="52">
        <f t="shared" si="11"/>
        <v>65</v>
      </c>
      <c r="L44" s="46">
        <f t="shared" si="12"/>
        <v>70000</v>
      </c>
      <c r="M44" s="13"/>
      <c r="N44" s="13"/>
      <c r="O44" s="70"/>
      <c r="P44" s="70">
        <v>15000</v>
      </c>
      <c r="Q44" s="70"/>
      <c r="R44" s="70">
        <f>100000-76000</f>
        <v>24000</v>
      </c>
      <c r="S44" s="70">
        <f>76000+15000</f>
        <v>91000</v>
      </c>
      <c r="T44" s="70"/>
      <c r="U44" s="71">
        <f>85000-15000</f>
        <v>70000</v>
      </c>
      <c r="V44" s="71"/>
      <c r="W44" s="71"/>
      <c r="X44" s="71"/>
      <c r="Y44" s="46">
        <f t="shared" si="2"/>
        <v>200000</v>
      </c>
      <c r="Z44" s="49">
        <f t="shared" si="9"/>
        <v>0</v>
      </c>
    </row>
    <row r="45" spans="1:26" ht="37.5">
      <c r="A45" s="26"/>
      <c r="B45" s="27"/>
      <c r="C45" s="56" t="s">
        <v>53</v>
      </c>
      <c r="D45" s="17">
        <f t="shared" si="6"/>
        <v>424000</v>
      </c>
      <c r="E45" s="21"/>
      <c r="F45" s="57">
        <f t="shared" si="7"/>
        <v>424000</v>
      </c>
      <c r="G45" s="58">
        <f>450000-26000</f>
        <v>424000</v>
      </c>
      <c r="H45" s="57">
        <f>26000</f>
        <v>26000</v>
      </c>
      <c r="I45" s="39">
        <f t="shared" si="10"/>
        <v>6.132075471698113</v>
      </c>
      <c r="J45" s="52">
        <f t="shared" si="11"/>
        <v>100</v>
      </c>
      <c r="L45" s="46">
        <f t="shared" si="12"/>
        <v>0</v>
      </c>
      <c r="M45" s="13"/>
      <c r="N45" s="13"/>
      <c r="O45" s="70"/>
      <c r="P45" s="70">
        <v>25000</v>
      </c>
      <c r="Q45" s="70"/>
      <c r="R45" s="70">
        <v>1000</v>
      </c>
      <c r="S45" s="70">
        <f>225000-1000-26000-198000</f>
        <v>0</v>
      </c>
      <c r="T45" s="70"/>
      <c r="U45" s="71"/>
      <c r="V45" s="71">
        <v>200000</v>
      </c>
      <c r="W45" s="71">
        <f>198000</f>
        <v>198000</v>
      </c>
      <c r="X45" s="71"/>
      <c r="Y45" s="46">
        <f t="shared" si="2"/>
        <v>424000</v>
      </c>
      <c r="Z45" s="49">
        <f t="shared" si="9"/>
        <v>0</v>
      </c>
    </row>
    <row r="46" spans="1:26" ht="18.75">
      <c r="A46" s="26"/>
      <c r="B46" s="27"/>
      <c r="C46" s="56" t="s">
        <v>54</v>
      </c>
      <c r="D46" s="17">
        <f t="shared" si="6"/>
        <v>163736</v>
      </c>
      <c r="E46" s="21"/>
      <c r="F46" s="57">
        <f t="shared" si="7"/>
        <v>163736</v>
      </c>
      <c r="G46" s="58">
        <v>163736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163736</v>
      </c>
      <c r="M46" s="13"/>
      <c r="N46" s="13"/>
      <c r="O46" s="70"/>
      <c r="P46" s="70">
        <f>163736-163736</f>
        <v>0</v>
      </c>
      <c r="Q46" s="70"/>
      <c r="R46" s="70"/>
      <c r="S46" s="70"/>
      <c r="T46" s="70"/>
      <c r="U46" s="71">
        <f>163736</f>
        <v>163736</v>
      </c>
      <c r="V46" s="71"/>
      <c r="W46" s="71"/>
      <c r="X46" s="71"/>
      <c r="Y46" s="46">
        <f t="shared" si="2"/>
        <v>163736</v>
      </c>
      <c r="Z46" s="49">
        <f t="shared" si="9"/>
        <v>0</v>
      </c>
    </row>
    <row r="47" spans="1:26" ht="37.5">
      <c r="A47" s="26"/>
      <c r="B47" s="27"/>
      <c r="C47" s="56" t="s">
        <v>55</v>
      </c>
      <c r="D47" s="17">
        <f t="shared" si="6"/>
        <v>262000</v>
      </c>
      <c r="E47" s="21"/>
      <c r="F47" s="57">
        <f t="shared" si="7"/>
        <v>262000</v>
      </c>
      <c r="G47" s="57">
        <v>262000</v>
      </c>
      <c r="H47" s="57"/>
      <c r="I47" s="39">
        <f t="shared" si="10"/>
        <v>0</v>
      </c>
      <c r="J47" s="52" t="e">
        <f t="shared" si="11"/>
        <v>#DIV/0!</v>
      </c>
      <c r="L47" s="46">
        <f t="shared" si="12"/>
        <v>0</v>
      </c>
      <c r="M47" s="13"/>
      <c r="N47" s="13"/>
      <c r="O47" s="70"/>
      <c r="P47" s="70">
        <f>262000-262000</f>
        <v>0</v>
      </c>
      <c r="Q47" s="70"/>
      <c r="R47" s="70"/>
      <c r="S47" s="70"/>
      <c r="T47" s="70"/>
      <c r="U47" s="71">
        <f>262000-262000</f>
        <v>0</v>
      </c>
      <c r="V47" s="71">
        <f>262000</f>
        <v>262000</v>
      </c>
      <c r="W47" s="71"/>
      <c r="X47" s="71"/>
      <c r="Y47" s="46">
        <f t="shared" si="2"/>
        <v>262000</v>
      </c>
      <c r="Z47" s="49">
        <f t="shared" si="9"/>
        <v>0</v>
      </c>
    </row>
    <row r="48" spans="1:26" ht="18.75">
      <c r="A48" s="26"/>
      <c r="B48" s="27"/>
      <c r="C48" s="56" t="s">
        <v>56</v>
      </c>
      <c r="D48" s="17">
        <f t="shared" si="6"/>
        <v>91538</v>
      </c>
      <c r="E48" s="21"/>
      <c r="F48" s="57">
        <f t="shared" si="7"/>
        <v>91538</v>
      </c>
      <c r="G48" s="57">
        <f>145000-53462</f>
        <v>91538</v>
      </c>
      <c r="H48" s="57"/>
      <c r="I48" s="39">
        <f t="shared" si="10"/>
        <v>0</v>
      </c>
      <c r="J48" s="52">
        <f t="shared" si="11"/>
        <v>0</v>
      </c>
      <c r="L48" s="46">
        <f t="shared" si="12"/>
        <v>91538</v>
      </c>
      <c r="M48" s="13"/>
      <c r="N48" s="13"/>
      <c r="O48" s="70"/>
      <c r="P48" s="70">
        <f>145000-39000-106000</f>
        <v>0</v>
      </c>
      <c r="Q48" s="70"/>
      <c r="R48" s="70"/>
      <c r="S48" s="70">
        <f>39000+106000-19000</f>
        <v>126000</v>
      </c>
      <c r="T48" s="70"/>
      <c r="U48" s="71">
        <f>19000-53462</f>
        <v>-34462</v>
      </c>
      <c r="V48" s="71"/>
      <c r="W48" s="71"/>
      <c r="X48" s="71"/>
      <c r="Y48" s="46">
        <f t="shared" si="2"/>
        <v>91538</v>
      </c>
      <c r="Z48" s="49">
        <f t="shared" si="9"/>
        <v>0</v>
      </c>
    </row>
    <row r="49" spans="1:26" ht="37.5" hidden="1">
      <c r="A49" s="26"/>
      <c r="B49" s="27"/>
      <c r="C49" s="59" t="s">
        <v>57</v>
      </c>
      <c r="D49" s="17">
        <f t="shared" si="6"/>
        <v>0</v>
      </c>
      <c r="E49" s="21"/>
      <c r="F49" s="57">
        <f t="shared" si="7"/>
        <v>0</v>
      </c>
      <c r="G49" s="58">
        <f>200000-200000</f>
        <v>0</v>
      </c>
      <c r="H49" s="57"/>
      <c r="I49" s="39" t="e">
        <f t="shared" si="10"/>
        <v>#DIV/0!</v>
      </c>
      <c r="J49" s="52" t="e">
        <f t="shared" si="11"/>
        <v>#DIV/0!</v>
      </c>
      <c r="L49" s="46">
        <f t="shared" si="12"/>
        <v>0</v>
      </c>
      <c r="M49" s="13"/>
      <c r="N49" s="13"/>
      <c r="O49" s="72"/>
      <c r="P49" s="72">
        <f>12000-12000</f>
        <v>0</v>
      </c>
      <c r="Q49" s="72"/>
      <c r="R49" s="72"/>
      <c r="S49" s="72">
        <f>98000-98000</f>
        <v>0</v>
      </c>
      <c r="T49" s="72"/>
      <c r="U49" s="71">
        <f>90000-90000</f>
        <v>0</v>
      </c>
      <c r="V49" s="71"/>
      <c r="W49" s="71"/>
      <c r="X49" s="71"/>
      <c r="Y49" s="46">
        <f t="shared" si="2"/>
        <v>0</v>
      </c>
      <c r="Z49" s="49">
        <f t="shared" si="9"/>
        <v>0</v>
      </c>
    </row>
    <row r="50" spans="1:26" ht="37.5">
      <c r="A50" s="26"/>
      <c r="B50" s="27"/>
      <c r="C50" s="56" t="s">
        <v>58</v>
      </c>
      <c r="D50" s="17">
        <f t="shared" si="6"/>
        <v>900000</v>
      </c>
      <c r="E50" s="21"/>
      <c r="F50" s="57">
        <f t="shared" si="7"/>
        <v>900000</v>
      </c>
      <c r="G50" s="58">
        <f>600000+300000</f>
        <v>900000</v>
      </c>
      <c r="H50" s="57">
        <f>414000</f>
        <v>414000</v>
      </c>
      <c r="I50" s="17">
        <f t="shared" si="10"/>
        <v>46</v>
      </c>
      <c r="J50" s="52">
        <f t="shared" si="11"/>
        <v>71.37931034482759</v>
      </c>
      <c r="L50" s="46">
        <f t="shared" si="12"/>
        <v>166000</v>
      </c>
      <c r="M50" s="13"/>
      <c r="N50" s="13"/>
      <c r="O50" s="70"/>
      <c r="P50" s="70">
        <f>400000-166000</f>
        <v>234000</v>
      </c>
      <c r="Q50" s="70"/>
      <c r="R50" s="70">
        <f>200000-20000</f>
        <v>180000</v>
      </c>
      <c r="S50" s="70">
        <f>136000+20000-156000</f>
        <v>0</v>
      </c>
      <c r="T50" s="70">
        <f>300000-300000</f>
        <v>0</v>
      </c>
      <c r="U50" s="76">
        <f>166000</f>
        <v>166000</v>
      </c>
      <c r="V50" s="76">
        <f>30000-30000</f>
        <v>0</v>
      </c>
      <c r="W50" s="71">
        <f>456000-136000</f>
        <v>320000</v>
      </c>
      <c r="X50" s="71"/>
      <c r="Y50" s="46">
        <f t="shared" si="2"/>
        <v>900000</v>
      </c>
      <c r="Z50" s="49">
        <f t="shared" si="9"/>
        <v>0</v>
      </c>
    </row>
    <row r="51" spans="1:26" ht="18.75">
      <c r="A51" s="26"/>
      <c r="B51" s="27"/>
      <c r="C51" s="56" t="s">
        <v>59</v>
      </c>
      <c r="D51" s="17">
        <f t="shared" si="6"/>
        <v>224010</v>
      </c>
      <c r="E51" s="21"/>
      <c r="F51" s="57">
        <f t="shared" si="7"/>
        <v>224010</v>
      </c>
      <c r="G51" s="57">
        <f>252000-91000+63010</f>
        <v>224010</v>
      </c>
      <c r="H51" s="57">
        <f>2300</f>
        <v>2300</v>
      </c>
      <c r="I51" s="17">
        <f t="shared" si="10"/>
        <v>1.026739877684032</v>
      </c>
      <c r="J51" s="52">
        <f t="shared" si="11"/>
        <v>1.4285714285714286</v>
      </c>
      <c r="L51" s="46">
        <f t="shared" si="12"/>
        <v>158700</v>
      </c>
      <c r="M51" s="13"/>
      <c r="N51" s="13"/>
      <c r="O51" s="70"/>
      <c r="P51" s="70">
        <f>161000-161000</f>
        <v>0</v>
      </c>
      <c r="Q51" s="70"/>
      <c r="R51" s="70"/>
      <c r="S51" s="70">
        <f>161000</f>
        <v>161000</v>
      </c>
      <c r="T51" s="70"/>
      <c r="U51" s="71"/>
      <c r="V51" s="71"/>
      <c r="W51" s="71"/>
      <c r="X51" s="71"/>
      <c r="Y51" s="46">
        <f t="shared" si="2"/>
        <v>161000</v>
      </c>
      <c r="Z51" s="49">
        <f t="shared" si="9"/>
        <v>-63010</v>
      </c>
    </row>
    <row r="52" spans="1:26" ht="37.5">
      <c r="A52" s="26"/>
      <c r="B52" s="27"/>
      <c r="C52" s="56" t="s">
        <v>60</v>
      </c>
      <c r="D52" s="17">
        <f t="shared" si="6"/>
        <v>445673</v>
      </c>
      <c r="E52" s="21"/>
      <c r="F52" s="57">
        <f t="shared" si="7"/>
        <v>445673</v>
      </c>
      <c r="G52" s="57">
        <f>283000+162673</f>
        <v>445673</v>
      </c>
      <c r="H52" s="57">
        <f>2300</f>
        <v>2300</v>
      </c>
      <c r="I52" s="17">
        <f t="shared" si="10"/>
        <v>0.5160734439824715</v>
      </c>
      <c r="J52" s="52">
        <f t="shared" si="11"/>
        <v>0.8127208480565371</v>
      </c>
      <c r="L52" s="46">
        <f t="shared" si="12"/>
        <v>280700</v>
      </c>
      <c r="M52" s="13"/>
      <c r="N52" s="13"/>
      <c r="O52" s="70"/>
      <c r="P52" s="70"/>
      <c r="Q52" s="70">
        <f>283000-253900-29000</f>
        <v>100</v>
      </c>
      <c r="R52" s="70"/>
      <c r="S52" s="70">
        <f>253900+29000</f>
        <v>282900</v>
      </c>
      <c r="T52" s="70"/>
      <c r="U52" s="71"/>
      <c r="V52" s="71"/>
      <c r="W52" s="71"/>
      <c r="X52" s="71"/>
      <c r="Y52" s="46">
        <f t="shared" si="2"/>
        <v>283000</v>
      </c>
      <c r="Z52" s="49">
        <f t="shared" si="9"/>
        <v>-162673</v>
      </c>
    </row>
    <row r="53" spans="1:26" ht="37.5">
      <c r="A53" s="26"/>
      <c r="B53" s="27"/>
      <c r="C53" s="56" t="s">
        <v>61</v>
      </c>
      <c r="D53" s="17">
        <f t="shared" si="6"/>
        <v>1377000</v>
      </c>
      <c r="E53" s="21"/>
      <c r="F53" s="57">
        <f t="shared" si="7"/>
        <v>1377000</v>
      </c>
      <c r="G53" s="57">
        <f>1192000+185000</f>
        <v>1377000</v>
      </c>
      <c r="H53" s="57">
        <f>940100+235033.86+16550+182643.51</f>
        <v>1374327.3699999999</v>
      </c>
      <c r="I53" s="17">
        <f t="shared" si="10"/>
        <v>99.80590922294843</v>
      </c>
      <c r="J53" s="52">
        <f t="shared" si="11"/>
        <v>99.80590922294843</v>
      </c>
      <c r="L53" s="46">
        <f t="shared" si="12"/>
        <v>2672.630000000121</v>
      </c>
      <c r="M53" s="13"/>
      <c r="N53" s="13"/>
      <c r="O53" s="70"/>
      <c r="P53" s="70">
        <f>600000+340100</f>
        <v>940100</v>
      </c>
      <c r="Q53" s="70">
        <f>251900</f>
        <v>251900</v>
      </c>
      <c r="R53" s="70">
        <f>185000</f>
        <v>185000</v>
      </c>
      <c r="S53" s="70">
        <f>592000-340100-251900+26000-26000</f>
        <v>0</v>
      </c>
      <c r="T53" s="70"/>
      <c r="U53" s="71">
        <f>159000-159000</f>
        <v>0</v>
      </c>
      <c r="V53" s="71"/>
      <c r="W53" s="71"/>
      <c r="X53" s="71"/>
      <c r="Y53" s="46">
        <f t="shared" si="2"/>
        <v>1377000</v>
      </c>
      <c r="Z53" s="49">
        <f t="shared" si="9"/>
        <v>0</v>
      </c>
    </row>
    <row r="54" spans="1:26" ht="37.5">
      <c r="A54" s="26"/>
      <c r="B54" s="27"/>
      <c r="C54" s="56" t="s">
        <v>62</v>
      </c>
      <c r="D54" s="17">
        <f t="shared" si="6"/>
        <v>325000</v>
      </c>
      <c r="E54" s="21"/>
      <c r="F54" s="57">
        <f t="shared" si="7"/>
        <v>325000</v>
      </c>
      <c r="G54" s="57">
        <v>325000</v>
      </c>
      <c r="H54" s="57">
        <f>304965.4</f>
        <v>304965.4</v>
      </c>
      <c r="I54" s="17">
        <f t="shared" si="10"/>
        <v>93.8355076923077</v>
      </c>
      <c r="J54" s="52">
        <f t="shared" si="11"/>
        <v>99.98865573770492</v>
      </c>
      <c r="L54" s="46">
        <f t="shared" si="12"/>
        <v>34.59999999997672</v>
      </c>
      <c r="M54" s="13"/>
      <c r="N54" s="13"/>
      <c r="O54" s="70"/>
      <c r="P54" s="70">
        <f>325000-20000</f>
        <v>305000</v>
      </c>
      <c r="Q54" s="70"/>
      <c r="R54" s="70"/>
      <c r="S54" s="70"/>
      <c r="T54" s="70"/>
      <c r="U54" s="71"/>
      <c r="V54" s="71"/>
      <c r="W54" s="71"/>
      <c r="X54" s="71">
        <f>20000</f>
        <v>20000</v>
      </c>
      <c r="Y54" s="46">
        <f t="shared" si="2"/>
        <v>325000</v>
      </c>
      <c r="Z54" s="49">
        <f t="shared" si="9"/>
        <v>0</v>
      </c>
    </row>
    <row r="55" spans="1:26" ht="37.5">
      <c r="A55" s="26"/>
      <c r="B55" s="27"/>
      <c r="C55" s="56" t="s">
        <v>63</v>
      </c>
      <c r="D55" s="17">
        <f t="shared" si="6"/>
        <v>451402</v>
      </c>
      <c r="E55" s="21"/>
      <c r="F55" s="57">
        <f t="shared" si="7"/>
        <v>451402</v>
      </c>
      <c r="G55" s="58">
        <f>250000+201402</f>
        <v>451402</v>
      </c>
      <c r="H55" s="57">
        <f>17000+160874+3800</f>
        <v>181674</v>
      </c>
      <c r="I55" s="17">
        <f t="shared" si="10"/>
        <v>40.24660945232853</v>
      </c>
      <c r="J55" s="52">
        <f t="shared" si="11"/>
        <v>72.6696</v>
      </c>
      <c r="L55" s="46">
        <f t="shared" si="12"/>
        <v>68326</v>
      </c>
      <c r="M55" s="13"/>
      <c r="N55" s="13"/>
      <c r="O55" s="70"/>
      <c r="P55" s="70">
        <v>15000</v>
      </c>
      <c r="Q55" s="70">
        <f>2000</f>
        <v>2000</v>
      </c>
      <c r="R55" s="70"/>
      <c r="S55" s="70">
        <f>170000-2000</f>
        <v>168000</v>
      </c>
      <c r="T55" s="70">
        <v>65000</v>
      </c>
      <c r="U55" s="71"/>
      <c r="V55" s="71"/>
      <c r="W55" s="71"/>
      <c r="X55" s="71"/>
      <c r="Y55" s="46">
        <f t="shared" si="2"/>
        <v>250000</v>
      </c>
      <c r="Z55" s="49">
        <f t="shared" si="9"/>
        <v>-201402</v>
      </c>
    </row>
    <row r="56" spans="1:26" ht="18.75">
      <c r="A56" s="26"/>
      <c r="B56" s="27"/>
      <c r="C56" s="56" t="s">
        <v>64</v>
      </c>
      <c r="D56" s="17">
        <f t="shared" si="6"/>
        <v>905656</v>
      </c>
      <c r="E56" s="21"/>
      <c r="F56" s="57">
        <f t="shared" si="7"/>
        <v>905656</v>
      </c>
      <c r="G56" s="57">
        <v>905656</v>
      </c>
      <c r="H56" s="57">
        <f>663625.68+42451.48</f>
        <v>706077.16</v>
      </c>
      <c r="I56" s="17">
        <f t="shared" si="10"/>
        <v>77.96306323813899</v>
      </c>
      <c r="J56" s="52">
        <f t="shared" si="11"/>
        <v>77.96306323813899</v>
      </c>
      <c r="L56" s="46">
        <f t="shared" si="12"/>
        <v>199578.83999999997</v>
      </c>
      <c r="M56" s="13"/>
      <c r="N56" s="13"/>
      <c r="O56" s="70">
        <f>760000-110000</f>
        <v>650000</v>
      </c>
      <c r="P56" s="70"/>
      <c r="Q56" s="70"/>
      <c r="R56" s="70">
        <f>145656-132000</f>
        <v>13656</v>
      </c>
      <c r="S56" s="70">
        <f>132000+110000-187100</f>
        <v>54900</v>
      </c>
      <c r="T56" s="70">
        <f>187100</f>
        <v>187100</v>
      </c>
      <c r="U56" s="71"/>
      <c r="V56" s="71"/>
      <c r="W56" s="71"/>
      <c r="X56" s="71"/>
      <c r="Y56" s="46">
        <f t="shared" si="2"/>
        <v>905656</v>
      </c>
      <c r="Z56" s="49">
        <f t="shared" si="9"/>
        <v>0</v>
      </c>
    </row>
    <row r="57" spans="1:26" ht="37.5">
      <c r="A57" s="26"/>
      <c r="B57" s="27"/>
      <c r="C57" s="56" t="s">
        <v>65</v>
      </c>
      <c r="D57" s="17">
        <f t="shared" si="6"/>
        <v>600000</v>
      </c>
      <c r="E57" s="21"/>
      <c r="F57" s="57">
        <f t="shared" si="7"/>
        <v>600000</v>
      </c>
      <c r="G57" s="57">
        <f>3500000-2900000</f>
        <v>600000</v>
      </c>
      <c r="H57" s="57"/>
      <c r="I57" s="39">
        <f t="shared" si="10"/>
        <v>0</v>
      </c>
      <c r="J57" s="52" t="e">
        <f t="shared" si="11"/>
        <v>#DIV/0!</v>
      </c>
      <c r="L57" s="46">
        <f t="shared" si="12"/>
        <v>0</v>
      </c>
      <c r="M57" s="13"/>
      <c r="N57" s="13"/>
      <c r="O57" s="70"/>
      <c r="P57" s="70"/>
      <c r="Q57" s="70"/>
      <c r="R57" s="70">
        <f>300000-300000</f>
        <v>0</v>
      </c>
      <c r="S57" s="70">
        <f>300000-300000</f>
        <v>0</v>
      </c>
      <c r="T57" s="70">
        <f>300000-300000</f>
        <v>0</v>
      </c>
      <c r="U57" s="71"/>
      <c r="V57" s="71">
        <f>300000</f>
        <v>300000</v>
      </c>
      <c r="W57" s="71">
        <f>300000</f>
        <v>300000</v>
      </c>
      <c r="X57" s="71"/>
      <c r="Y57" s="46">
        <f t="shared" si="2"/>
        <v>600000</v>
      </c>
      <c r="Z57" s="49">
        <f t="shared" si="9"/>
        <v>0</v>
      </c>
    </row>
    <row r="58" spans="1:26" ht="18.75">
      <c r="A58" s="26"/>
      <c r="B58" s="27"/>
      <c r="C58" s="56" t="s">
        <v>66</v>
      </c>
      <c r="D58" s="17">
        <f t="shared" si="6"/>
        <v>38043.27</v>
      </c>
      <c r="E58" s="21"/>
      <c r="F58" s="57">
        <f t="shared" si="7"/>
        <v>38043.27</v>
      </c>
      <c r="G58" s="57">
        <v>38043.27</v>
      </c>
      <c r="H58" s="57"/>
      <c r="I58" s="39">
        <f t="shared" si="10"/>
        <v>0</v>
      </c>
      <c r="J58" s="52">
        <f t="shared" si="11"/>
        <v>0</v>
      </c>
      <c r="L58" s="46">
        <f t="shared" si="12"/>
        <v>38043.27</v>
      </c>
      <c r="M58" s="13"/>
      <c r="N58" s="13"/>
      <c r="O58" s="70"/>
      <c r="P58" s="70">
        <f>38043.27-38000</f>
        <v>43.2699999999968</v>
      </c>
      <c r="Q58" s="70"/>
      <c r="R58" s="70"/>
      <c r="S58" s="70"/>
      <c r="T58" s="70"/>
      <c r="U58" s="71">
        <f>38000</f>
        <v>38000</v>
      </c>
      <c r="V58" s="71"/>
      <c r="W58" s="71"/>
      <c r="X58" s="71"/>
      <c r="Y58" s="46">
        <f t="shared" si="2"/>
        <v>38043.27</v>
      </c>
      <c r="Z58" s="49">
        <f t="shared" si="9"/>
        <v>0</v>
      </c>
    </row>
    <row r="59" spans="1:26" ht="18.75">
      <c r="A59" s="26"/>
      <c r="B59" s="27"/>
      <c r="C59" s="56" t="s">
        <v>124</v>
      </c>
      <c r="D59" s="17">
        <f t="shared" si="6"/>
        <v>1455677.6</v>
      </c>
      <c r="E59" s="21"/>
      <c r="F59" s="57">
        <f t="shared" si="7"/>
        <v>1455677.6</v>
      </c>
      <c r="G59" s="57">
        <f>1455677.6</f>
        <v>1455677.6</v>
      </c>
      <c r="H59" s="57"/>
      <c r="I59" s="39"/>
      <c r="J59" s="52"/>
      <c r="L59" s="46"/>
      <c r="M59" s="13"/>
      <c r="N59" s="13"/>
      <c r="O59" s="70"/>
      <c r="P59" s="70"/>
      <c r="Q59" s="70"/>
      <c r="R59" s="70"/>
      <c r="S59" s="70"/>
      <c r="T59" s="70"/>
      <c r="U59" s="71"/>
      <c r="V59" s="71"/>
      <c r="W59" s="71"/>
      <c r="X59" s="71"/>
      <c r="Y59" s="46"/>
      <c r="Z59" s="49">
        <f t="shared" si="9"/>
        <v>-1455677.6</v>
      </c>
    </row>
    <row r="60" spans="1:26" ht="37.5">
      <c r="A60" s="26"/>
      <c r="B60" s="27"/>
      <c r="C60" s="56" t="s">
        <v>67</v>
      </c>
      <c r="D60" s="17">
        <f t="shared" si="6"/>
        <v>303000</v>
      </c>
      <c r="E60" s="21"/>
      <c r="F60" s="57">
        <f t="shared" si="7"/>
        <v>303000</v>
      </c>
      <c r="G60" s="57">
        <v>303000</v>
      </c>
      <c r="H60" s="57">
        <f>292764.73+4169.59</f>
        <v>296934.32</v>
      </c>
      <c r="I60" s="17">
        <f t="shared" si="10"/>
        <v>97.99812541254126</v>
      </c>
      <c r="J60" s="52">
        <f t="shared" si="11"/>
        <v>97.99812541254126</v>
      </c>
      <c r="L60" s="46">
        <f t="shared" si="12"/>
        <v>6065.679999999993</v>
      </c>
      <c r="M60" s="13"/>
      <c r="N60" s="13"/>
      <c r="O60" s="70"/>
      <c r="P60" s="70">
        <v>303000</v>
      </c>
      <c r="Q60" s="70"/>
      <c r="R60" s="70"/>
      <c r="S60" s="70"/>
      <c r="T60" s="70"/>
      <c r="U60" s="71"/>
      <c r="V60" s="71"/>
      <c r="W60" s="71"/>
      <c r="X60" s="71"/>
      <c r="Y60" s="46">
        <f t="shared" si="2"/>
        <v>303000</v>
      </c>
      <c r="Z60" s="49">
        <f t="shared" si="9"/>
        <v>0</v>
      </c>
    </row>
    <row r="61" spans="1:26" ht="18.75">
      <c r="A61" s="26"/>
      <c r="B61" s="27"/>
      <c r="C61" s="56" t="s">
        <v>68</v>
      </c>
      <c r="D61" s="17">
        <f t="shared" si="6"/>
        <v>359000</v>
      </c>
      <c r="E61" s="21"/>
      <c r="F61" s="57">
        <f t="shared" si="7"/>
        <v>359000</v>
      </c>
      <c r="G61" s="57">
        <v>359000</v>
      </c>
      <c r="H61" s="57">
        <f>274488.71</f>
        <v>274488.71</v>
      </c>
      <c r="I61" s="17">
        <f t="shared" si="10"/>
        <v>76.45925069637883</v>
      </c>
      <c r="J61" s="52">
        <f t="shared" si="11"/>
        <v>99.99588706739527</v>
      </c>
      <c r="L61" s="46">
        <f t="shared" si="12"/>
        <v>11.289999999979045</v>
      </c>
      <c r="M61" s="13"/>
      <c r="N61" s="13"/>
      <c r="O61" s="70"/>
      <c r="P61" s="70"/>
      <c r="Q61" s="70">
        <f>274500</f>
        <v>274500</v>
      </c>
      <c r="R61" s="70"/>
      <c r="S61" s="70">
        <f>359000-274500-84500</f>
        <v>0</v>
      </c>
      <c r="T61" s="70"/>
      <c r="U61" s="71"/>
      <c r="V61" s="71">
        <f>84500</f>
        <v>84500</v>
      </c>
      <c r="W61" s="71"/>
      <c r="X61" s="71"/>
      <c r="Y61" s="46">
        <f t="shared" si="2"/>
        <v>359000</v>
      </c>
      <c r="Z61" s="49">
        <f t="shared" si="9"/>
        <v>0</v>
      </c>
    </row>
    <row r="62" spans="1:26" ht="18.75">
      <c r="A62" s="26"/>
      <c r="B62" s="27"/>
      <c r="C62" s="56" t="s">
        <v>69</v>
      </c>
      <c r="D62" s="17">
        <f t="shared" si="6"/>
        <v>478000</v>
      </c>
      <c r="E62" s="21"/>
      <c r="F62" s="57">
        <f t="shared" si="7"/>
        <v>478000</v>
      </c>
      <c r="G62" s="57">
        <f>1700000-95164.55-1126835.45</f>
        <v>478000</v>
      </c>
      <c r="H62" s="57">
        <f>250000+228000</f>
        <v>478000</v>
      </c>
      <c r="I62" s="17">
        <f t="shared" si="10"/>
        <v>100</v>
      </c>
      <c r="J62" s="52">
        <f t="shared" si="11"/>
        <v>100</v>
      </c>
      <c r="L62" s="46">
        <f t="shared" si="12"/>
        <v>0</v>
      </c>
      <c r="M62" s="13"/>
      <c r="N62" s="13"/>
      <c r="O62" s="70"/>
      <c r="P62" s="70">
        <f>100000+150000</f>
        <v>250000</v>
      </c>
      <c r="Q62" s="70"/>
      <c r="R62" s="70"/>
      <c r="S62" s="70">
        <f>1000000-150000-95164.55-526835.45</f>
        <v>228000</v>
      </c>
      <c r="T62" s="70">
        <f>600000-600000</f>
        <v>0</v>
      </c>
      <c r="U62" s="71"/>
      <c r="V62" s="71"/>
      <c r="W62" s="71"/>
      <c r="X62" s="71"/>
      <c r="Y62" s="46">
        <f t="shared" si="2"/>
        <v>478000</v>
      </c>
      <c r="Z62" s="49">
        <f t="shared" si="9"/>
        <v>0</v>
      </c>
    </row>
    <row r="63" spans="1:26" ht="18.75">
      <c r="A63" s="26"/>
      <c r="B63" s="27"/>
      <c r="C63" s="56" t="s">
        <v>70</v>
      </c>
      <c r="D63" s="17">
        <f t="shared" si="6"/>
        <v>1510000</v>
      </c>
      <c r="E63" s="21"/>
      <c r="F63" s="57">
        <f t="shared" si="7"/>
        <v>1510000</v>
      </c>
      <c r="G63" s="57">
        <f>1790000-280000</f>
        <v>1510000</v>
      </c>
      <c r="H63" s="57"/>
      <c r="I63" s="39">
        <f t="shared" si="10"/>
        <v>0</v>
      </c>
      <c r="J63" s="52">
        <f t="shared" si="11"/>
        <v>0</v>
      </c>
      <c r="L63" s="46">
        <f t="shared" si="12"/>
        <v>986500</v>
      </c>
      <c r="M63" s="13"/>
      <c r="N63" s="13"/>
      <c r="O63" s="70"/>
      <c r="P63" s="70"/>
      <c r="Q63" s="70"/>
      <c r="R63" s="70">
        <f>800000-800000</f>
        <v>0</v>
      </c>
      <c r="S63" s="70">
        <f>800000-800000</f>
        <v>0</v>
      </c>
      <c r="T63" s="70">
        <f>177300</f>
        <v>177300</v>
      </c>
      <c r="U63" s="71">
        <f>710000+99200</f>
        <v>809200</v>
      </c>
      <c r="V63" s="71">
        <f>523500</f>
        <v>523500</v>
      </c>
      <c r="W63" s="71"/>
      <c r="X63" s="71"/>
      <c r="Y63" s="46">
        <f t="shared" si="2"/>
        <v>1510000</v>
      </c>
      <c r="Z63" s="49">
        <f t="shared" si="9"/>
        <v>0</v>
      </c>
    </row>
    <row r="64" spans="1:26" ht="18.75">
      <c r="A64" s="26"/>
      <c r="B64" s="27"/>
      <c r="C64" s="56" t="s">
        <v>71</v>
      </c>
      <c r="D64" s="17">
        <f t="shared" si="6"/>
        <v>17979000</v>
      </c>
      <c r="E64" s="21"/>
      <c r="F64" s="57">
        <f t="shared" si="7"/>
        <v>17979000</v>
      </c>
      <c r="G64" s="57">
        <f>10479000-7000000+1500000+2900000+100000+10000000</f>
        <v>17979000</v>
      </c>
      <c r="H64" s="57">
        <v>3930000</v>
      </c>
      <c r="I64" s="39">
        <f t="shared" si="10"/>
        <v>21.85883530785917</v>
      </c>
      <c r="J64" s="52">
        <f t="shared" si="11"/>
        <v>100</v>
      </c>
      <c r="L64" s="46">
        <f t="shared" si="12"/>
        <v>0</v>
      </c>
      <c r="M64" s="13"/>
      <c r="N64" s="13"/>
      <c r="O64" s="70"/>
      <c r="P64" s="76">
        <f>3930000-1414490.15-46100-239000-570000+56675.72</f>
        <v>1717085.57</v>
      </c>
      <c r="Q64" s="76">
        <f>1414490.15+24000-274500</f>
        <v>1163990.15</v>
      </c>
      <c r="R64" s="76">
        <f>38000+1011000-5</f>
        <v>1048995</v>
      </c>
      <c r="S64" s="76">
        <f>3949000+46100+155000+395000+274500+43324.28-1011000-2450670-1400000-1254</f>
        <v>0.2800000002607703</v>
      </c>
      <c r="T64" s="76">
        <f>22000+476741+1400000-1898741</f>
        <v>0</v>
      </c>
      <c r="U64" s="76">
        <f>1973929-1974000</f>
        <v>-71</v>
      </c>
      <c r="V64" s="76">
        <f>175000+1974000</f>
        <v>2149000</v>
      </c>
      <c r="W64" s="76">
        <f>1900000</f>
        <v>1900000</v>
      </c>
      <c r="X64" s="71"/>
      <c r="Y64" s="46">
        <f t="shared" si="2"/>
        <v>7979000</v>
      </c>
      <c r="Z64" s="49">
        <f t="shared" si="9"/>
        <v>-10000000</v>
      </c>
    </row>
    <row r="65" spans="1:26" ht="37.5">
      <c r="A65" s="26"/>
      <c r="B65" s="27"/>
      <c r="C65" s="56" t="s">
        <v>72</v>
      </c>
      <c r="D65" s="17">
        <f t="shared" si="6"/>
        <v>15360149</v>
      </c>
      <c r="E65" s="21"/>
      <c r="F65" s="57">
        <f t="shared" si="7"/>
        <v>15360149</v>
      </c>
      <c r="G65" s="57">
        <f>7024039-1500000+2000000+7836110</f>
        <v>15360149</v>
      </c>
      <c r="H65" s="57">
        <f>130000+3643250</f>
        <v>3773250</v>
      </c>
      <c r="I65" s="78">
        <f t="shared" si="10"/>
        <v>24.565191392349124</v>
      </c>
      <c r="J65" s="52">
        <f t="shared" si="11"/>
        <v>57.74789340597616</v>
      </c>
      <c r="L65" s="46">
        <f t="shared" si="12"/>
        <v>2760754.58</v>
      </c>
      <c r="M65" s="13"/>
      <c r="N65" s="13"/>
      <c r="O65" s="70"/>
      <c r="P65" s="76">
        <f>50000+80000+450000-450000</f>
        <v>130000</v>
      </c>
      <c r="Q65" s="76">
        <f>359000-359000</f>
        <v>0</v>
      </c>
      <c r="R65" s="76">
        <f>81004.58-81000</f>
        <v>4.580000000001746</v>
      </c>
      <c r="S65" s="76">
        <f>3500000-80000+350000+890000-950000+2694000</f>
        <v>6404000</v>
      </c>
      <c r="T65" s="76">
        <f>341800+950000-1291800</f>
        <v>0</v>
      </c>
      <c r="U65" s="76">
        <f>99200-99200</f>
        <v>0</v>
      </c>
      <c r="V65" s="76">
        <f>3474039-1500000-1303000</f>
        <v>671039</v>
      </c>
      <c r="W65" s="76"/>
      <c r="X65" s="76">
        <v>318995.42</v>
      </c>
      <c r="Y65" s="46">
        <f t="shared" si="2"/>
        <v>7524039</v>
      </c>
      <c r="Z65" s="49">
        <f t="shared" si="9"/>
        <v>-7836110</v>
      </c>
    </row>
    <row r="66" spans="1:26" ht="18.75">
      <c r="A66" s="26"/>
      <c r="B66" s="27"/>
      <c r="C66" s="56" t="s">
        <v>73</v>
      </c>
      <c r="D66" s="17">
        <f t="shared" si="6"/>
        <v>3976000</v>
      </c>
      <c r="E66" s="21"/>
      <c r="F66" s="57">
        <f t="shared" si="7"/>
        <v>3976000</v>
      </c>
      <c r="G66" s="57">
        <v>3976000</v>
      </c>
      <c r="H66" s="57">
        <f>1000000+500000-500000</f>
        <v>1000000</v>
      </c>
      <c r="I66" s="17">
        <f t="shared" si="10"/>
        <v>25.15090543259557</v>
      </c>
      <c r="J66" s="52">
        <f t="shared" si="11"/>
        <v>100</v>
      </c>
      <c r="L66" s="46">
        <f t="shared" si="12"/>
        <v>0</v>
      </c>
      <c r="M66" s="13"/>
      <c r="N66" s="13"/>
      <c r="O66" s="70">
        <f>1000000+168750</f>
        <v>1168750</v>
      </c>
      <c r="P66" s="70">
        <f>331250</f>
        <v>331250</v>
      </c>
      <c r="Q66" s="70"/>
      <c r="R66" s="70"/>
      <c r="S66" s="70"/>
      <c r="T66" s="70"/>
      <c r="U66" s="71">
        <f>1976000-500000-1976000</f>
        <v>-500000</v>
      </c>
      <c r="V66" s="71">
        <f>1326000</f>
        <v>1326000</v>
      </c>
      <c r="W66" s="71">
        <f>1000000+650000</f>
        <v>1650000</v>
      </c>
      <c r="X66" s="71"/>
      <c r="Y66" s="46">
        <f t="shared" si="2"/>
        <v>3976000</v>
      </c>
      <c r="Z66" s="49">
        <f t="shared" si="9"/>
        <v>0</v>
      </c>
    </row>
    <row r="67" spans="1:26" ht="18.75">
      <c r="A67" s="26"/>
      <c r="B67" s="27"/>
      <c r="C67" s="56" t="s">
        <v>74</v>
      </c>
      <c r="D67" s="17">
        <f t="shared" si="6"/>
        <v>2733000</v>
      </c>
      <c r="E67" s="21"/>
      <c r="F67" s="57">
        <f t="shared" si="7"/>
        <v>2733000</v>
      </c>
      <c r="G67" s="57">
        <v>2733000</v>
      </c>
      <c r="H67" s="57">
        <f>1348500+1160481.22+16102.12+191112.6</f>
        <v>2716195.94</v>
      </c>
      <c r="I67" s="17">
        <f t="shared" si="10"/>
        <v>99.38514233443104</v>
      </c>
      <c r="J67" s="52">
        <f t="shared" si="11"/>
        <v>99.38514233443104</v>
      </c>
      <c r="L67" s="46">
        <f t="shared" si="12"/>
        <v>16804.060000000056</v>
      </c>
      <c r="M67" s="13"/>
      <c r="N67" s="13"/>
      <c r="O67" s="70"/>
      <c r="P67" s="70">
        <f>1400000+161000</f>
        <v>1561000</v>
      </c>
      <c r="Q67" s="70">
        <f>72000</f>
        <v>72000</v>
      </c>
      <c r="R67" s="70">
        <f>1100000</f>
        <v>1100000</v>
      </c>
      <c r="S67" s="70">
        <f>1333000-1333000</f>
        <v>0</v>
      </c>
      <c r="T67" s="70"/>
      <c r="U67" s="71"/>
      <c r="V67" s="71"/>
      <c r="W67" s="71"/>
      <c r="X67" s="71"/>
      <c r="Y67" s="46">
        <f t="shared" si="2"/>
        <v>2733000</v>
      </c>
      <c r="Z67" s="49">
        <f t="shared" si="9"/>
        <v>0</v>
      </c>
    </row>
    <row r="68" spans="1:26" ht="18.75">
      <c r="A68" s="26"/>
      <c r="B68" s="27"/>
      <c r="C68" s="60" t="s">
        <v>75</v>
      </c>
      <c r="D68" s="17">
        <f t="shared" si="6"/>
        <v>86813.52</v>
      </c>
      <c r="E68" s="21"/>
      <c r="F68" s="57">
        <f t="shared" si="7"/>
        <v>86813.52</v>
      </c>
      <c r="G68" s="61">
        <v>86813.52</v>
      </c>
      <c r="H68" s="57"/>
      <c r="I68" s="39">
        <f t="shared" si="10"/>
        <v>0</v>
      </c>
      <c r="J68" s="52">
        <f t="shared" si="11"/>
        <v>0</v>
      </c>
      <c r="L68" s="46">
        <f t="shared" si="12"/>
        <v>86813.52</v>
      </c>
      <c r="M68" s="13"/>
      <c r="N68" s="13"/>
      <c r="O68" s="73"/>
      <c r="P68" s="73">
        <f>86813.52-86813.52</f>
        <v>0</v>
      </c>
      <c r="Q68" s="73"/>
      <c r="R68" s="73"/>
      <c r="S68" s="73">
        <f>86813.52-86800</f>
        <v>13.520000000004075</v>
      </c>
      <c r="T68" s="73">
        <f>86800</f>
        <v>86800</v>
      </c>
      <c r="U68" s="71"/>
      <c r="V68" s="71"/>
      <c r="W68" s="71"/>
      <c r="X68" s="71"/>
      <c r="Y68" s="46">
        <f t="shared" si="2"/>
        <v>86813.52</v>
      </c>
      <c r="Z68" s="49">
        <f t="shared" si="9"/>
        <v>0</v>
      </c>
    </row>
    <row r="69" spans="1:26" ht="18.75">
      <c r="A69" s="26"/>
      <c r="B69" s="27"/>
      <c r="C69" s="60" t="s">
        <v>76</v>
      </c>
      <c r="D69" s="17">
        <f t="shared" si="6"/>
        <v>114582.07</v>
      </c>
      <c r="E69" s="21"/>
      <c r="F69" s="57">
        <f t="shared" si="7"/>
        <v>114582.07</v>
      </c>
      <c r="G69" s="61">
        <v>114582.07</v>
      </c>
      <c r="H69" s="57">
        <f>23000</f>
        <v>23000</v>
      </c>
      <c r="I69" s="39">
        <f t="shared" si="10"/>
        <v>20.0729485861095</v>
      </c>
      <c r="J69" s="52">
        <f t="shared" si="11"/>
        <v>20.0729485861095</v>
      </c>
      <c r="L69" s="46">
        <f t="shared" si="12"/>
        <v>91582.07</v>
      </c>
      <c r="M69" s="13"/>
      <c r="N69" s="13"/>
      <c r="O69" s="73"/>
      <c r="P69" s="73">
        <f>114582.07-114582.07</f>
        <v>0</v>
      </c>
      <c r="Q69" s="73"/>
      <c r="R69" s="73">
        <v>23000</v>
      </c>
      <c r="S69" s="73">
        <f>114582.07-23000-91500</f>
        <v>82.07000000000698</v>
      </c>
      <c r="T69" s="73">
        <f>91500</f>
        <v>91500</v>
      </c>
      <c r="U69" s="71"/>
      <c r="V69" s="71"/>
      <c r="W69" s="71"/>
      <c r="X69" s="71"/>
      <c r="Y69" s="46">
        <f t="shared" si="2"/>
        <v>114582.07</v>
      </c>
      <c r="Z69" s="49">
        <f t="shared" si="9"/>
        <v>0</v>
      </c>
    </row>
    <row r="70" spans="1:26" ht="18.75">
      <c r="A70" s="26"/>
      <c r="B70" s="27"/>
      <c r="C70" s="60" t="s">
        <v>77</v>
      </c>
      <c r="D70" s="17">
        <f t="shared" si="6"/>
        <v>176384.92</v>
      </c>
      <c r="E70" s="21"/>
      <c r="F70" s="57">
        <f t="shared" si="7"/>
        <v>176384.92</v>
      </c>
      <c r="G70" s="61">
        <v>176384.92</v>
      </c>
      <c r="H70" s="57">
        <f>16000</f>
        <v>16000</v>
      </c>
      <c r="I70" s="39">
        <f t="shared" si="10"/>
        <v>9.071070247955436</v>
      </c>
      <c r="J70" s="52">
        <f t="shared" si="11"/>
        <v>9.071070247955436</v>
      </c>
      <c r="L70" s="46">
        <f t="shared" si="12"/>
        <v>160384.92</v>
      </c>
      <c r="M70" s="13"/>
      <c r="N70" s="13"/>
      <c r="O70" s="73"/>
      <c r="P70" s="73">
        <f>176384.92-176384.92</f>
        <v>0</v>
      </c>
      <c r="Q70" s="73"/>
      <c r="R70" s="73">
        <v>16000</v>
      </c>
      <c r="S70" s="73">
        <f>176384.92-16000-160300</f>
        <v>84.9200000000128</v>
      </c>
      <c r="T70" s="73">
        <f>160300</f>
        <v>160300</v>
      </c>
      <c r="U70" s="71"/>
      <c r="V70" s="71"/>
      <c r="W70" s="71"/>
      <c r="X70" s="71"/>
      <c r="Y70" s="46">
        <f t="shared" si="2"/>
        <v>176384.92</v>
      </c>
      <c r="Z70" s="49">
        <f t="shared" si="9"/>
        <v>0</v>
      </c>
    </row>
    <row r="71" spans="1:26" ht="18.75">
      <c r="A71" s="26"/>
      <c r="B71" s="27"/>
      <c r="C71" s="60" t="s">
        <v>78</v>
      </c>
      <c r="D71" s="17">
        <f t="shared" si="6"/>
        <v>376807.62</v>
      </c>
      <c r="E71" s="21"/>
      <c r="F71" s="57">
        <f t="shared" si="7"/>
        <v>376807.62</v>
      </c>
      <c r="G71" s="61">
        <v>376807.62</v>
      </c>
      <c r="H71" s="57">
        <f>36000</f>
        <v>36000</v>
      </c>
      <c r="I71" s="39">
        <f t="shared" si="10"/>
        <v>9.553946918589386</v>
      </c>
      <c r="J71" s="52">
        <f t="shared" si="11"/>
        <v>9.553946918589386</v>
      </c>
      <c r="L71" s="46">
        <f t="shared" si="12"/>
        <v>340807.62</v>
      </c>
      <c r="M71" s="13"/>
      <c r="N71" s="13"/>
      <c r="O71" s="73"/>
      <c r="P71" s="73">
        <f>376807.62-376807.62</f>
        <v>0</v>
      </c>
      <c r="Q71" s="73"/>
      <c r="R71" s="73">
        <v>36000</v>
      </c>
      <c r="S71" s="73">
        <f>376807.62-36000-340800</f>
        <v>7.619999999995343</v>
      </c>
      <c r="T71" s="73">
        <f>340800</f>
        <v>340800</v>
      </c>
      <c r="U71" s="71"/>
      <c r="V71" s="71"/>
      <c r="W71" s="71"/>
      <c r="X71" s="71"/>
      <c r="Y71" s="46">
        <f t="shared" si="2"/>
        <v>376807.62</v>
      </c>
      <c r="Z71" s="49">
        <f t="shared" si="9"/>
        <v>0</v>
      </c>
    </row>
    <row r="72" spans="1:26" ht="37.5">
      <c r="A72" s="26"/>
      <c r="B72" s="27"/>
      <c r="C72" s="60" t="s">
        <v>79</v>
      </c>
      <c r="D72" s="17">
        <f t="shared" si="6"/>
        <v>1517411.87</v>
      </c>
      <c r="E72" s="21"/>
      <c r="F72" s="57">
        <f t="shared" si="7"/>
        <v>1517411.87</v>
      </c>
      <c r="G72" s="61">
        <f>1245411.87+272000</f>
        <v>1517411.87</v>
      </c>
      <c r="H72" s="57">
        <f>1000000+56000+152290.4+14345.82+292651.2</f>
        <v>1515287.42</v>
      </c>
      <c r="I72" s="17">
        <f t="shared" si="10"/>
        <v>99.85999516400248</v>
      </c>
      <c r="J72" s="52">
        <f t="shared" si="11"/>
        <v>99.85999516400248</v>
      </c>
      <c r="L72" s="46">
        <f t="shared" si="12"/>
        <v>2124.4500000001863</v>
      </c>
      <c r="M72" s="13"/>
      <c r="N72" s="13"/>
      <c r="O72" s="73"/>
      <c r="P72" s="73">
        <f>56000+754588.13</f>
        <v>810588.13</v>
      </c>
      <c r="Q72" s="73">
        <f>245411.87+170000+291411.87</f>
        <v>706823.74</v>
      </c>
      <c r="R72" s="73"/>
      <c r="S72" s="73">
        <f>1245411.87-56000-1000000-170000+272000-291411.87</f>
        <v>0</v>
      </c>
      <c r="T72" s="73"/>
      <c r="U72" s="71"/>
      <c r="V72" s="71"/>
      <c r="W72" s="71"/>
      <c r="X72" s="71"/>
      <c r="Y72" s="46">
        <f t="shared" si="2"/>
        <v>1517411.87</v>
      </c>
      <c r="Z72" s="49">
        <f t="shared" si="9"/>
        <v>0</v>
      </c>
    </row>
    <row r="73" spans="1:26" ht="18.75">
      <c r="A73" s="26"/>
      <c r="B73" s="27"/>
      <c r="C73" s="56" t="s">
        <v>125</v>
      </c>
      <c r="D73" s="17">
        <f t="shared" si="6"/>
        <v>650000</v>
      </c>
      <c r="E73" s="21"/>
      <c r="F73" s="57">
        <f t="shared" si="7"/>
        <v>650000</v>
      </c>
      <c r="G73" s="61">
        <v>650000</v>
      </c>
      <c r="H73" s="57"/>
      <c r="I73" s="17"/>
      <c r="J73" s="52"/>
      <c r="L73" s="46"/>
      <c r="M73" s="13"/>
      <c r="N73" s="13"/>
      <c r="O73" s="73"/>
      <c r="P73" s="73"/>
      <c r="Q73" s="73"/>
      <c r="R73" s="73"/>
      <c r="S73" s="73"/>
      <c r="T73" s="73"/>
      <c r="U73" s="71"/>
      <c r="V73" s="71"/>
      <c r="W73" s="71"/>
      <c r="X73" s="71"/>
      <c r="Y73" s="46"/>
      <c r="Z73" s="49">
        <f t="shared" si="9"/>
        <v>-650000</v>
      </c>
    </row>
    <row r="74" spans="1:26" ht="18.75">
      <c r="A74" s="26"/>
      <c r="B74" s="27"/>
      <c r="C74" s="56" t="s">
        <v>80</v>
      </c>
      <c r="D74" s="17">
        <f t="shared" si="6"/>
        <v>115891.03</v>
      </c>
      <c r="E74" s="21"/>
      <c r="F74" s="57">
        <f t="shared" si="7"/>
        <v>115891.03</v>
      </c>
      <c r="G74" s="57">
        <v>115891.03</v>
      </c>
      <c r="H74" s="57"/>
      <c r="I74" s="39">
        <f t="shared" si="10"/>
        <v>0</v>
      </c>
      <c r="J74" s="52">
        <f t="shared" si="11"/>
        <v>0</v>
      </c>
      <c r="L74" s="46">
        <f t="shared" si="12"/>
        <v>891.0299999999988</v>
      </c>
      <c r="M74" s="13"/>
      <c r="N74" s="13"/>
      <c r="O74" s="70"/>
      <c r="P74" s="70"/>
      <c r="Q74" s="70">
        <f>115891.03-115000</f>
        <v>891.0299999999988</v>
      </c>
      <c r="R74" s="70"/>
      <c r="S74" s="70">
        <f>115000-115000</f>
        <v>0</v>
      </c>
      <c r="T74" s="70"/>
      <c r="U74" s="71"/>
      <c r="V74" s="71">
        <f>115000</f>
        <v>115000</v>
      </c>
      <c r="W74" s="71"/>
      <c r="X74" s="71"/>
      <c r="Y74" s="46">
        <f t="shared" si="2"/>
        <v>115891.03</v>
      </c>
      <c r="Z74" s="49">
        <f t="shared" si="9"/>
        <v>0</v>
      </c>
    </row>
    <row r="75" spans="1:26" ht="18.75">
      <c r="A75" s="26"/>
      <c r="B75" s="27"/>
      <c r="C75" s="56" t="s">
        <v>81</v>
      </c>
      <c r="D75" s="17">
        <f t="shared" si="6"/>
        <v>1042820.97</v>
      </c>
      <c r="E75" s="21"/>
      <c r="F75" s="57">
        <f t="shared" si="7"/>
        <v>1042820.97</v>
      </c>
      <c r="G75" s="57">
        <f>584108.97+5250+453462</f>
        <v>1042820.97</v>
      </c>
      <c r="H75" s="57">
        <f>286000+50433.63+4759.51</f>
        <v>341193.14</v>
      </c>
      <c r="I75" s="17">
        <f t="shared" si="10"/>
        <v>32.71828528726268</v>
      </c>
      <c r="J75" s="52">
        <f t="shared" si="11"/>
        <v>53.07747505499082</v>
      </c>
      <c r="L75" s="46">
        <f t="shared" si="12"/>
        <v>301627.82999999996</v>
      </c>
      <c r="M75" s="13"/>
      <c r="N75" s="13"/>
      <c r="O75" s="76">
        <f>286000-286000</f>
        <v>0</v>
      </c>
      <c r="P75" s="76">
        <f>298108.97+5250-17000</f>
        <v>286358.97</v>
      </c>
      <c r="Q75" s="70"/>
      <c r="R75" s="70"/>
      <c r="S75" s="70">
        <f>303000-248000</f>
        <v>55000</v>
      </c>
      <c r="T75" s="70">
        <f>248000</f>
        <v>248000</v>
      </c>
      <c r="U75" s="71">
        <f>53462</f>
        <v>53462</v>
      </c>
      <c r="V75" s="71">
        <f>400000</f>
        <v>400000</v>
      </c>
      <c r="W75" s="71"/>
      <c r="X75" s="71"/>
      <c r="Y75" s="46">
        <f t="shared" si="2"/>
        <v>1042820.97</v>
      </c>
      <c r="Z75" s="49">
        <f t="shared" si="9"/>
        <v>0</v>
      </c>
    </row>
    <row r="76" spans="1:26" ht="18.75" hidden="1">
      <c r="A76" s="26"/>
      <c r="B76" s="27"/>
      <c r="C76" s="56" t="s">
        <v>82</v>
      </c>
      <c r="D76" s="17">
        <f t="shared" si="6"/>
        <v>0</v>
      </c>
      <c r="E76" s="21"/>
      <c r="F76" s="57">
        <f t="shared" si="7"/>
        <v>0</v>
      </c>
      <c r="G76" s="57">
        <f>400000-400000</f>
        <v>0</v>
      </c>
      <c r="H76" s="57"/>
      <c r="I76" s="39" t="e">
        <f t="shared" si="10"/>
        <v>#DIV/0!</v>
      </c>
      <c r="J76" s="82" t="e">
        <f t="shared" si="11"/>
        <v>#DIV/0!</v>
      </c>
      <c r="L76" s="46">
        <f t="shared" si="12"/>
        <v>0</v>
      </c>
      <c r="M76" s="13"/>
      <c r="N76" s="13"/>
      <c r="O76" s="70"/>
      <c r="P76" s="70">
        <f>40000-40000</f>
        <v>0</v>
      </c>
      <c r="Q76" s="70">
        <f>250000-170000-80000</f>
        <v>0</v>
      </c>
      <c r="R76" s="70"/>
      <c r="S76" s="70">
        <f>110000+170000-280000</f>
        <v>0</v>
      </c>
      <c r="T76" s="70"/>
      <c r="U76" s="71"/>
      <c r="V76" s="71">
        <f>120000+280000-400000</f>
        <v>0</v>
      </c>
      <c r="W76" s="71"/>
      <c r="X76" s="71"/>
      <c r="Y76" s="46">
        <f t="shared" si="2"/>
        <v>0</v>
      </c>
      <c r="Z76" s="49">
        <f t="shared" si="9"/>
        <v>0</v>
      </c>
    </row>
    <row r="77" spans="1:26" ht="37.5">
      <c r="A77" s="26"/>
      <c r="B77" s="27"/>
      <c r="C77" s="56" t="s">
        <v>83</v>
      </c>
      <c r="D77" s="17">
        <f t="shared" si="6"/>
        <v>202968.32</v>
      </c>
      <c r="E77" s="21"/>
      <c r="F77" s="57">
        <f t="shared" si="7"/>
        <v>202968.32</v>
      </c>
      <c r="G77" s="57">
        <f>201000+1968.32</f>
        <v>202968.32</v>
      </c>
      <c r="H77" s="57">
        <f>190086.61</f>
        <v>190086.61</v>
      </c>
      <c r="I77" s="17">
        <f t="shared" si="10"/>
        <v>93.65333959506586</v>
      </c>
      <c r="J77" s="52">
        <f t="shared" si="11"/>
        <v>93.65333959506586</v>
      </c>
      <c r="L77" s="46">
        <f t="shared" si="12"/>
        <v>12881.710000000021</v>
      </c>
      <c r="M77" s="13"/>
      <c r="N77" s="13"/>
      <c r="O77" s="70"/>
      <c r="P77" s="76">
        <f>201000+1968.32</f>
        <v>202968.32</v>
      </c>
      <c r="Q77" s="70"/>
      <c r="R77" s="70"/>
      <c r="S77" s="70"/>
      <c r="T77" s="70"/>
      <c r="U77" s="71"/>
      <c r="V77" s="71"/>
      <c r="W77" s="71"/>
      <c r="X77" s="71"/>
      <c r="Y77" s="46">
        <f t="shared" si="2"/>
        <v>202968.32</v>
      </c>
      <c r="Z77" s="49">
        <f t="shared" si="9"/>
        <v>0</v>
      </c>
    </row>
    <row r="78" spans="1:26" ht="37.5">
      <c r="A78" s="26"/>
      <c r="B78" s="27"/>
      <c r="C78" s="56" t="s">
        <v>84</v>
      </c>
      <c r="D78" s="17">
        <f t="shared" si="6"/>
        <v>145717.01</v>
      </c>
      <c r="E78" s="21"/>
      <c r="F78" s="57">
        <f t="shared" si="7"/>
        <v>145717.01</v>
      </c>
      <c r="G78" s="57">
        <f>145000+717.01</f>
        <v>145717.01</v>
      </c>
      <c r="H78" s="57">
        <f>137489.66</f>
        <v>137489.66</v>
      </c>
      <c r="I78" s="17">
        <f t="shared" si="10"/>
        <v>94.3538849719741</v>
      </c>
      <c r="J78" s="52">
        <f t="shared" si="11"/>
        <v>94.3538849719741</v>
      </c>
      <c r="L78" s="46">
        <f t="shared" si="12"/>
        <v>8227.350000000006</v>
      </c>
      <c r="M78" s="13"/>
      <c r="N78" s="13"/>
      <c r="O78" s="70"/>
      <c r="P78" s="76">
        <f>145000+717.01</f>
        <v>145717.01</v>
      </c>
      <c r="Q78" s="70"/>
      <c r="R78" s="70"/>
      <c r="S78" s="70"/>
      <c r="T78" s="70"/>
      <c r="U78" s="71"/>
      <c r="V78" s="71"/>
      <c r="W78" s="71"/>
      <c r="X78" s="71"/>
      <c r="Y78" s="46">
        <f t="shared" si="2"/>
        <v>145717.01</v>
      </c>
      <c r="Z78" s="49">
        <f t="shared" si="9"/>
        <v>0</v>
      </c>
    </row>
    <row r="79" spans="1:26" ht="18.75">
      <c r="A79" s="26"/>
      <c r="B79" s="27"/>
      <c r="C79" s="56" t="s">
        <v>126</v>
      </c>
      <c r="D79" s="17">
        <f t="shared" si="6"/>
        <v>3000000</v>
      </c>
      <c r="E79" s="21"/>
      <c r="F79" s="57">
        <f t="shared" si="7"/>
        <v>3000000</v>
      </c>
      <c r="G79" s="57">
        <f>1338431.61+1340.08+1660228.31</f>
        <v>3000000</v>
      </c>
      <c r="H79" s="57"/>
      <c r="I79" s="17"/>
      <c r="J79" s="52"/>
      <c r="L79" s="46"/>
      <c r="M79" s="13"/>
      <c r="N79" s="13"/>
      <c r="O79" s="70"/>
      <c r="P79" s="76"/>
      <c r="Q79" s="70"/>
      <c r="R79" s="70"/>
      <c r="S79" s="70"/>
      <c r="T79" s="70"/>
      <c r="U79" s="71"/>
      <c r="V79" s="71"/>
      <c r="W79" s="71"/>
      <c r="X79" s="71"/>
      <c r="Y79" s="46"/>
      <c r="Z79" s="49">
        <f t="shared" si="9"/>
        <v>-3000000</v>
      </c>
    </row>
    <row r="80" spans="1:26" ht="18.75">
      <c r="A80" s="26"/>
      <c r="B80" s="27"/>
      <c r="C80" s="56" t="s">
        <v>85</v>
      </c>
      <c r="D80" s="17">
        <f t="shared" si="6"/>
        <v>1500000</v>
      </c>
      <c r="E80" s="21"/>
      <c r="F80" s="57">
        <f t="shared" si="7"/>
        <v>1500000</v>
      </c>
      <c r="G80" s="57">
        <v>1500000</v>
      </c>
      <c r="H80" s="57">
        <f>61000+900000</f>
        <v>961000</v>
      </c>
      <c r="I80" s="78">
        <f t="shared" si="10"/>
        <v>64.06666666666668</v>
      </c>
      <c r="J80" s="52">
        <f t="shared" si="11"/>
        <v>65.00944974249663</v>
      </c>
      <c r="L80" s="46">
        <f t="shared" si="12"/>
        <v>517246.6299999999</v>
      </c>
      <c r="M80" s="13"/>
      <c r="N80" s="13"/>
      <c r="O80" s="70"/>
      <c r="P80" s="70"/>
      <c r="Q80" s="70">
        <f>1000000-44161.91</f>
        <v>955838.09</v>
      </c>
      <c r="R80" s="70">
        <f>22408.54-17000</f>
        <v>5408.540000000001</v>
      </c>
      <c r="S80" s="70"/>
      <c r="T80" s="70">
        <v>500000</v>
      </c>
      <c r="U80" s="71">
        <f>17000</f>
        <v>17000</v>
      </c>
      <c r="V80" s="71"/>
      <c r="W80" s="71">
        <v>21753.37</v>
      </c>
      <c r="X80" s="71"/>
      <c r="Y80" s="46">
        <f t="shared" si="2"/>
        <v>1500000</v>
      </c>
      <c r="Z80" s="49">
        <f t="shared" si="9"/>
        <v>0</v>
      </c>
    </row>
    <row r="81" spans="1:26" ht="18.75">
      <c r="A81" s="26"/>
      <c r="B81" s="27"/>
      <c r="C81" s="56" t="s">
        <v>86</v>
      </c>
      <c r="D81" s="17">
        <f>E81+F81</f>
        <v>10000</v>
      </c>
      <c r="E81" s="21"/>
      <c r="F81" s="57">
        <f>G81</f>
        <v>10000</v>
      </c>
      <c r="G81" s="57">
        <v>10000</v>
      </c>
      <c r="H81" s="57"/>
      <c r="I81" s="39">
        <f t="shared" si="10"/>
        <v>0</v>
      </c>
      <c r="J81" s="52">
        <f t="shared" si="11"/>
        <v>0</v>
      </c>
      <c r="L81" s="46">
        <f t="shared" si="12"/>
        <v>10000</v>
      </c>
      <c r="M81" s="13"/>
      <c r="N81" s="13"/>
      <c r="O81" s="70"/>
      <c r="P81" s="70">
        <v>10000</v>
      </c>
      <c r="Q81" s="70"/>
      <c r="R81" s="70"/>
      <c r="S81" s="70"/>
      <c r="T81" s="70"/>
      <c r="U81" s="71"/>
      <c r="V81" s="71"/>
      <c r="W81" s="71"/>
      <c r="X81" s="71"/>
      <c r="Y81" s="46">
        <f t="shared" si="2"/>
        <v>10000</v>
      </c>
      <c r="Z81" s="49">
        <f t="shared" si="9"/>
        <v>0</v>
      </c>
    </row>
    <row r="82" spans="1:26" ht="18.75">
      <c r="A82" s="26"/>
      <c r="B82" s="27"/>
      <c r="C82" s="60" t="s">
        <v>127</v>
      </c>
      <c r="D82" s="17">
        <f>E82+F82</f>
        <v>600000</v>
      </c>
      <c r="E82" s="21"/>
      <c r="F82" s="57">
        <f>G82</f>
        <v>600000</v>
      </c>
      <c r="G82" s="57">
        <v>600000</v>
      </c>
      <c r="H82" s="57"/>
      <c r="I82" s="39"/>
      <c r="J82" s="52"/>
      <c r="L82" s="46"/>
      <c r="M82" s="13"/>
      <c r="N82" s="13"/>
      <c r="O82" s="70"/>
      <c r="P82" s="70"/>
      <c r="Q82" s="70"/>
      <c r="R82" s="70"/>
      <c r="S82" s="70"/>
      <c r="T82" s="70"/>
      <c r="U82" s="71"/>
      <c r="V82" s="71"/>
      <c r="W82" s="71"/>
      <c r="X82" s="71"/>
      <c r="Y82" s="46"/>
      <c r="Z82" s="49">
        <f t="shared" si="9"/>
        <v>-600000</v>
      </c>
    </row>
    <row r="83" spans="1:26" ht="18.75">
      <c r="A83" s="26"/>
      <c r="B83" s="27"/>
      <c r="C83" s="56" t="s">
        <v>87</v>
      </c>
      <c r="D83" s="17">
        <f t="shared" si="6"/>
        <v>72500</v>
      </c>
      <c r="E83" s="21"/>
      <c r="F83" s="57">
        <f t="shared" si="7"/>
        <v>72500</v>
      </c>
      <c r="G83" s="57">
        <v>72500</v>
      </c>
      <c r="H83" s="57"/>
      <c r="I83" s="39">
        <f t="shared" si="10"/>
        <v>0</v>
      </c>
      <c r="J83" s="82" t="e">
        <f t="shared" si="11"/>
        <v>#DIV/0!</v>
      </c>
      <c r="L83" s="46">
        <f t="shared" si="12"/>
        <v>0</v>
      </c>
      <c r="M83" s="13"/>
      <c r="N83" s="13"/>
      <c r="O83" s="70"/>
      <c r="P83" s="70"/>
      <c r="Q83" s="70"/>
      <c r="R83" s="70"/>
      <c r="S83" s="70"/>
      <c r="T83" s="70"/>
      <c r="U83" s="71"/>
      <c r="V83" s="71"/>
      <c r="W83" s="71"/>
      <c r="X83" s="71">
        <v>72500</v>
      </c>
      <c r="Y83" s="46">
        <f aca="true" t="shared" si="13" ref="Y83:Y124">SUM(M83:X83)</f>
        <v>72500</v>
      </c>
      <c r="Z83" s="49">
        <f t="shared" si="9"/>
        <v>0</v>
      </c>
    </row>
    <row r="84" spans="1:26" ht="18.75">
      <c r="A84" s="26"/>
      <c r="B84" s="27"/>
      <c r="C84" s="56" t="s">
        <v>118</v>
      </c>
      <c r="D84" s="17">
        <f t="shared" si="6"/>
        <v>1600000</v>
      </c>
      <c r="E84" s="21"/>
      <c r="F84" s="57">
        <f t="shared" si="7"/>
        <v>1600000</v>
      </c>
      <c r="G84" s="57">
        <v>1600000</v>
      </c>
      <c r="H84" s="57">
        <f>48000</f>
        <v>48000</v>
      </c>
      <c r="I84" s="78">
        <f t="shared" si="10"/>
        <v>3</v>
      </c>
      <c r="J84" s="52">
        <f t="shared" si="11"/>
        <v>5.889570552147239</v>
      </c>
      <c r="L84" s="46">
        <f t="shared" si="12"/>
        <v>767000</v>
      </c>
      <c r="M84" s="13"/>
      <c r="N84" s="13"/>
      <c r="O84" s="70"/>
      <c r="P84" s="70"/>
      <c r="Q84" s="70"/>
      <c r="R84" s="70"/>
      <c r="S84" s="70"/>
      <c r="T84" s="70"/>
      <c r="U84" s="71">
        <f>815000</f>
        <v>815000</v>
      </c>
      <c r="V84" s="71">
        <v>785000</v>
      </c>
      <c r="W84" s="71"/>
      <c r="X84" s="71"/>
      <c r="Y84" s="46">
        <f t="shared" si="13"/>
        <v>1600000</v>
      </c>
      <c r="Z84" s="49">
        <f t="shared" si="9"/>
        <v>0</v>
      </c>
    </row>
    <row r="85" spans="1:26" ht="37.5">
      <c r="A85" s="26"/>
      <c r="B85" s="27"/>
      <c r="C85" s="56" t="s">
        <v>88</v>
      </c>
      <c r="D85" s="17">
        <f t="shared" si="6"/>
        <v>62084.4</v>
      </c>
      <c r="E85" s="21"/>
      <c r="F85" s="57">
        <f t="shared" si="7"/>
        <v>62084.4</v>
      </c>
      <c r="G85" s="57">
        <f>45000+17084.4</f>
        <v>62084.4</v>
      </c>
      <c r="H85" s="57"/>
      <c r="I85" s="39">
        <f t="shared" si="10"/>
        <v>0</v>
      </c>
      <c r="J85" s="52">
        <f t="shared" si="11"/>
        <v>0</v>
      </c>
      <c r="L85" s="46">
        <f t="shared" si="12"/>
        <v>45000</v>
      </c>
      <c r="M85" s="13"/>
      <c r="N85" s="13"/>
      <c r="O85" s="70"/>
      <c r="P85" s="70">
        <f>45000-45000</f>
        <v>0</v>
      </c>
      <c r="Q85" s="70"/>
      <c r="R85" s="70"/>
      <c r="S85" s="70"/>
      <c r="T85" s="70"/>
      <c r="U85" s="71">
        <f>45000</f>
        <v>45000</v>
      </c>
      <c r="V85" s="71"/>
      <c r="W85" s="71"/>
      <c r="X85" s="71"/>
      <c r="Y85" s="46">
        <f t="shared" si="13"/>
        <v>45000</v>
      </c>
      <c r="Z85" s="49">
        <f t="shared" si="9"/>
        <v>-17084.4</v>
      </c>
    </row>
    <row r="86" spans="1:26" ht="18.75">
      <c r="A86" s="99" t="s">
        <v>89</v>
      </c>
      <c r="B86" s="100"/>
      <c r="C86" s="100"/>
      <c r="D86" s="100"/>
      <c r="E86" s="100"/>
      <c r="F86" s="100"/>
      <c r="G86" s="101"/>
      <c r="H86" s="13"/>
      <c r="I86" s="55"/>
      <c r="J86" s="52"/>
      <c r="L86" s="4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6">
        <f t="shared" si="13"/>
        <v>0</v>
      </c>
      <c r="Z86" s="49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2"/>
      <c r="F87" s="8">
        <f>SUM(F88:F123)</f>
        <v>145474378.81</v>
      </c>
      <c r="G87" s="8">
        <f>SUM(G88:G123)</f>
        <v>145474378.81</v>
      </c>
      <c r="H87" s="8">
        <f>SUM(H88:H123)</f>
        <v>48072730.28</v>
      </c>
      <c r="I87" s="8">
        <f t="shared" si="10"/>
        <v>33.04549617138179</v>
      </c>
      <c r="J87" s="8">
        <f>(H87/(M87+N87+O87+P87+Q87+R87+S87+T87+U87))*100</f>
        <v>55.31305228228136</v>
      </c>
      <c r="L87" s="51">
        <f t="shared" si="12"/>
        <v>38837552.730000004</v>
      </c>
      <c r="M87" s="69">
        <f>SUM(M88:M123)</f>
        <v>0</v>
      </c>
      <c r="N87" s="69">
        <f aca="true" t="shared" si="14" ref="N87:X87">SUM(N88:N123)</f>
        <v>0</v>
      </c>
      <c r="O87" s="51">
        <f t="shared" si="14"/>
        <v>8050000</v>
      </c>
      <c r="P87" s="51">
        <f t="shared" si="14"/>
        <v>21834756.8</v>
      </c>
      <c r="Q87" s="51">
        <f t="shared" si="14"/>
        <v>8822800</v>
      </c>
      <c r="R87" s="51">
        <f t="shared" si="14"/>
        <v>11378056.360000001</v>
      </c>
      <c r="S87" s="51">
        <f t="shared" si="14"/>
        <v>12589502.09</v>
      </c>
      <c r="T87" s="51">
        <f t="shared" si="14"/>
        <v>14820167.76</v>
      </c>
      <c r="U87" s="51">
        <f t="shared" si="14"/>
        <v>9415000</v>
      </c>
      <c r="V87" s="51">
        <f t="shared" si="14"/>
        <v>10657714.8</v>
      </c>
      <c r="W87" s="51">
        <f t="shared" si="14"/>
        <v>16239760.6</v>
      </c>
      <c r="X87" s="51">
        <f t="shared" si="14"/>
        <v>17006911.4</v>
      </c>
      <c r="Y87" s="51">
        <f>SUM(M87:X87)</f>
        <v>130814669.81</v>
      </c>
      <c r="Z87" s="49">
        <f t="shared" si="9"/>
        <v>-14659709</v>
      </c>
    </row>
    <row r="88" spans="1:26" ht="18.75">
      <c r="A88" s="63"/>
      <c r="B88" s="18"/>
      <c r="C88" s="56" t="s">
        <v>90</v>
      </c>
      <c r="D88" s="17">
        <f aca="true" t="shared" si="15" ref="D88:D123">E88+F88</f>
        <v>800000</v>
      </c>
      <c r="E88" s="21"/>
      <c r="F88" s="57">
        <f aca="true" t="shared" si="16" ref="F88:F123">G88</f>
        <v>800000</v>
      </c>
      <c r="G88" s="57">
        <v>800000</v>
      </c>
      <c r="H88" s="58">
        <f>460335.6+49987.85-2810.4-15095.45</f>
        <v>492417.5999999999</v>
      </c>
      <c r="I88" s="17">
        <f t="shared" si="10"/>
        <v>61.55219999999999</v>
      </c>
      <c r="J88" s="52">
        <f>(H88/(M88+N88+O88+P88+Q88+R88+S88+T88+U88))*100</f>
        <v>61.55219999999999</v>
      </c>
      <c r="L88" s="46">
        <f t="shared" si="12"/>
        <v>307582.4000000001</v>
      </c>
      <c r="M88" s="67"/>
      <c r="N88" s="67"/>
      <c r="O88" s="67"/>
      <c r="P88" s="67">
        <v>600000</v>
      </c>
      <c r="Q88" s="67">
        <v>200000</v>
      </c>
      <c r="R88" s="67"/>
      <c r="S88" s="67"/>
      <c r="T88" s="67"/>
      <c r="U88" s="67"/>
      <c r="V88" s="67"/>
      <c r="W88" s="67"/>
      <c r="X88" s="67"/>
      <c r="Y88" s="46">
        <f t="shared" si="13"/>
        <v>800000</v>
      </c>
      <c r="Z88" s="49">
        <f t="shared" si="9"/>
        <v>0</v>
      </c>
    </row>
    <row r="89" spans="1:26" ht="24" customHeight="1">
      <c r="A89" s="63"/>
      <c r="B89" s="18"/>
      <c r="C89" s="83" t="s">
        <v>115</v>
      </c>
      <c r="D89" s="17">
        <f t="shared" si="15"/>
        <v>5863886</v>
      </c>
      <c r="E89" s="21"/>
      <c r="F89" s="57">
        <f t="shared" si="16"/>
        <v>5863886</v>
      </c>
      <c r="G89" s="57">
        <f>3000000+2863886</f>
        <v>5863886</v>
      </c>
      <c r="H89" s="58">
        <f>87741.39</f>
        <v>87741.39</v>
      </c>
      <c r="I89" s="17">
        <f t="shared" si="10"/>
        <v>1.496301087708731</v>
      </c>
      <c r="J89" s="52">
        <f aca="true" t="shared" si="17" ref="J89:J123">(H89/(M89+N89+O89+P89+Q89+R89+S89+T89+U89))*100</f>
        <v>87.74139</v>
      </c>
      <c r="L89" s="46">
        <f t="shared" si="12"/>
        <v>12258.61</v>
      </c>
      <c r="M89" s="67"/>
      <c r="N89" s="67"/>
      <c r="O89" s="67"/>
      <c r="P89" s="67"/>
      <c r="Q89" s="67"/>
      <c r="R89" s="67"/>
      <c r="S89" s="67">
        <f>100000</f>
        <v>100000</v>
      </c>
      <c r="T89" s="67"/>
      <c r="U89" s="67"/>
      <c r="V89" s="77">
        <f>1000000-100000</f>
        <v>900000</v>
      </c>
      <c r="W89" s="77">
        <v>2000000</v>
      </c>
      <c r="X89" s="67"/>
      <c r="Y89" s="46">
        <f t="shared" si="13"/>
        <v>3000000</v>
      </c>
      <c r="Z89" s="49">
        <f t="shared" si="9"/>
        <v>-2863886</v>
      </c>
    </row>
    <row r="90" spans="1:26" ht="24" customHeight="1">
      <c r="A90" s="63"/>
      <c r="B90" s="18"/>
      <c r="C90" s="56" t="s">
        <v>128</v>
      </c>
      <c r="D90" s="17">
        <f t="shared" si="15"/>
        <v>300000</v>
      </c>
      <c r="E90" s="21"/>
      <c r="F90" s="57">
        <f t="shared" si="16"/>
        <v>300000</v>
      </c>
      <c r="G90" s="57">
        <f>300000</f>
        <v>300000</v>
      </c>
      <c r="H90" s="58"/>
      <c r="I90" s="17"/>
      <c r="J90" s="52"/>
      <c r="L90" s="46"/>
      <c r="M90" s="67"/>
      <c r="N90" s="67"/>
      <c r="O90" s="67"/>
      <c r="P90" s="67"/>
      <c r="Q90" s="67"/>
      <c r="R90" s="67"/>
      <c r="S90" s="67"/>
      <c r="T90" s="67"/>
      <c r="U90" s="67"/>
      <c r="V90" s="77"/>
      <c r="W90" s="77"/>
      <c r="X90" s="67"/>
      <c r="Y90" s="46"/>
      <c r="Z90" s="49">
        <f t="shared" si="9"/>
        <v>-300000</v>
      </c>
    </row>
    <row r="91" spans="1:26" ht="24" customHeight="1">
      <c r="A91" s="63"/>
      <c r="B91" s="18"/>
      <c r="C91" s="56" t="s">
        <v>129</v>
      </c>
      <c r="D91" s="17">
        <f t="shared" si="15"/>
        <v>376676.89</v>
      </c>
      <c r="E91" s="21"/>
      <c r="F91" s="57">
        <f t="shared" si="16"/>
        <v>376676.89</v>
      </c>
      <c r="G91" s="57">
        <f>376676.89</f>
        <v>376676.89</v>
      </c>
      <c r="H91" s="58"/>
      <c r="I91" s="17"/>
      <c r="J91" s="52"/>
      <c r="L91" s="46"/>
      <c r="M91" s="67"/>
      <c r="N91" s="67"/>
      <c r="O91" s="67"/>
      <c r="P91" s="67"/>
      <c r="Q91" s="67"/>
      <c r="R91" s="67"/>
      <c r="S91" s="67"/>
      <c r="T91" s="67"/>
      <c r="U91" s="67"/>
      <c r="V91" s="77"/>
      <c r="W91" s="77"/>
      <c r="X91" s="67"/>
      <c r="Y91" s="46"/>
      <c r="Z91" s="49">
        <f t="shared" si="9"/>
        <v>-376676.89</v>
      </c>
    </row>
    <row r="92" spans="1:26" ht="18.75">
      <c r="A92" s="63"/>
      <c r="B92" s="18"/>
      <c r="C92" s="56" t="s">
        <v>91</v>
      </c>
      <c r="D92" s="17">
        <f t="shared" si="15"/>
        <v>26805000</v>
      </c>
      <c r="E92" s="21"/>
      <c r="F92" s="57">
        <f t="shared" si="16"/>
        <v>26805000</v>
      </c>
      <c r="G92" s="57">
        <f>8000000-1000000+5000000+10000000-14700000+19505000</f>
        <v>26805000</v>
      </c>
      <c r="H92" s="58">
        <f>2500000+924670.32+19613.05+4000000+2000000+1200000+10900000+242404.98</f>
        <v>21786688.349999998</v>
      </c>
      <c r="I92" s="17">
        <f t="shared" si="10"/>
        <v>81.27844935646334</v>
      </c>
      <c r="J92" s="52">
        <f t="shared" si="17"/>
        <v>99.03040159090908</v>
      </c>
      <c r="L92" s="46">
        <f t="shared" si="12"/>
        <v>213311.65000000224</v>
      </c>
      <c r="M92" s="67"/>
      <c r="N92" s="67"/>
      <c r="O92" s="67"/>
      <c r="P92" s="77">
        <f>3437500+4100000</f>
        <v>7537500</v>
      </c>
      <c r="Q92" s="77">
        <f>3437500-2000000+4513387.6</f>
        <v>5950887.6</v>
      </c>
      <c r="R92" s="77">
        <f>90000+5000000+800000+2521612.4</f>
        <v>8411612.4</v>
      </c>
      <c r="S92" s="77">
        <f>5000000-800000-4100000</f>
        <v>100000</v>
      </c>
      <c r="T92" s="77">
        <f>5000000-5000000</f>
        <v>0</v>
      </c>
      <c r="U92" s="77">
        <f>35000-35000</f>
        <v>0</v>
      </c>
      <c r="V92" s="77"/>
      <c r="W92" s="77">
        <f>2000000-2000000</f>
        <v>0</v>
      </c>
      <c r="X92" s="67"/>
      <c r="Y92" s="46">
        <f t="shared" si="13"/>
        <v>22000000</v>
      </c>
      <c r="Z92" s="49">
        <f t="shared" si="9"/>
        <v>-4805000</v>
      </c>
    </row>
    <row r="93" spans="1:26" ht="18.75">
      <c r="A93" s="63"/>
      <c r="B93" s="18"/>
      <c r="C93" s="56" t="s">
        <v>92</v>
      </c>
      <c r="D93" s="17">
        <f t="shared" si="15"/>
        <v>1330000</v>
      </c>
      <c r="E93" s="21"/>
      <c r="F93" s="57">
        <f t="shared" si="16"/>
        <v>1330000</v>
      </c>
      <c r="G93" s="58">
        <f>1300000+30000</f>
        <v>1330000</v>
      </c>
      <c r="H93" s="58">
        <f>27575</f>
        <v>27575</v>
      </c>
      <c r="I93" s="17">
        <f t="shared" si="10"/>
        <v>2.0733082706766917</v>
      </c>
      <c r="J93" s="52">
        <f t="shared" si="17"/>
        <v>2.0733082706766917</v>
      </c>
      <c r="L93" s="46">
        <f t="shared" si="12"/>
        <v>1302425</v>
      </c>
      <c r="M93" s="67"/>
      <c r="N93" s="67"/>
      <c r="O93" s="67"/>
      <c r="P93" s="77">
        <v>650000</v>
      </c>
      <c r="Q93" s="77">
        <v>130000</v>
      </c>
      <c r="R93" s="77">
        <f>260000+30000</f>
        <v>290000</v>
      </c>
      <c r="S93" s="77">
        <v>260000</v>
      </c>
      <c r="T93" s="67"/>
      <c r="U93" s="67"/>
      <c r="V93" s="67"/>
      <c r="W93" s="67"/>
      <c r="X93" s="67"/>
      <c r="Y93" s="46">
        <f t="shared" si="13"/>
        <v>1330000</v>
      </c>
      <c r="Z93" s="49">
        <f aca="true" t="shared" si="18" ref="Z93:Z124">Y93-D93</f>
        <v>0</v>
      </c>
    </row>
    <row r="94" spans="1:26" ht="18.75">
      <c r="A94" s="63"/>
      <c r="B94" s="18"/>
      <c r="C94" s="56" t="s">
        <v>93</v>
      </c>
      <c r="D94" s="17">
        <f t="shared" si="15"/>
        <v>15600000</v>
      </c>
      <c r="E94" s="21"/>
      <c r="F94" s="57">
        <f t="shared" si="16"/>
        <v>15600000</v>
      </c>
      <c r="G94" s="57">
        <f>600000+15000000</f>
        <v>15600000</v>
      </c>
      <c r="H94" s="58"/>
      <c r="I94" s="39">
        <f aca="true" t="shared" si="19" ref="I94:I107">H94/D94*100</f>
        <v>0</v>
      </c>
      <c r="J94" s="52">
        <f t="shared" si="17"/>
        <v>0</v>
      </c>
      <c r="L94" s="46">
        <f t="shared" si="12"/>
        <v>15500000</v>
      </c>
      <c r="M94" s="67"/>
      <c r="N94" s="67"/>
      <c r="O94" s="67"/>
      <c r="P94" s="67"/>
      <c r="Q94" s="67"/>
      <c r="R94" s="77">
        <f>600000+600000-800000</f>
        <v>400000</v>
      </c>
      <c r="S94" s="77">
        <f>6000000+800000-4000000-100000</f>
        <v>2700000</v>
      </c>
      <c r="T94" s="77">
        <f>6000000+4000000</f>
        <v>10000000</v>
      </c>
      <c r="U94" s="77">
        <f>2400000</f>
        <v>2400000</v>
      </c>
      <c r="V94" s="67">
        <f>100000</f>
        <v>100000</v>
      </c>
      <c r="W94" s="67"/>
      <c r="X94" s="67"/>
      <c r="Y94" s="46">
        <f t="shared" si="13"/>
        <v>15600000</v>
      </c>
      <c r="Z94" s="49">
        <f t="shared" si="18"/>
        <v>0</v>
      </c>
    </row>
    <row r="95" spans="1:26" ht="18.75">
      <c r="A95" s="63"/>
      <c r="B95" s="18"/>
      <c r="C95" s="56" t="s">
        <v>130</v>
      </c>
      <c r="D95" s="17">
        <f t="shared" si="15"/>
        <v>1500000</v>
      </c>
      <c r="E95" s="21"/>
      <c r="F95" s="57">
        <f t="shared" si="16"/>
        <v>1500000</v>
      </c>
      <c r="G95" s="58">
        <f>500000+1000000</f>
        <v>1500000</v>
      </c>
      <c r="H95" s="58"/>
      <c r="I95" s="39">
        <f t="shared" si="19"/>
        <v>0</v>
      </c>
      <c r="J95" s="52" t="e">
        <f t="shared" si="17"/>
        <v>#DIV/0!</v>
      </c>
      <c r="L95" s="46">
        <f t="shared" si="12"/>
        <v>0</v>
      </c>
      <c r="M95" s="67"/>
      <c r="N95" s="67"/>
      <c r="O95" s="67"/>
      <c r="P95" s="67"/>
      <c r="Q95" s="67">
        <f>200000-10000</f>
        <v>190000</v>
      </c>
      <c r="R95" s="67">
        <f>200000+10000-10000</f>
        <v>200000</v>
      </c>
      <c r="S95" s="67">
        <v>100000</v>
      </c>
      <c r="T95" s="67"/>
      <c r="U95" s="67">
        <f>10000-500000</f>
        <v>-490000</v>
      </c>
      <c r="V95" s="67"/>
      <c r="W95" s="67"/>
      <c r="X95" s="67">
        <f>1500000</f>
        <v>1500000</v>
      </c>
      <c r="Y95" s="46">
        <f t="shared" si="13"/>
        <v>1500000</v>
      </c>
      <c r="Z95" s="49">
        <f t="shared" si="18"/>
        <v>0</v>
      </c>
    </row>
    <row r="96" spans="1:26" ht="18.75">
      <c r="A96" s="63"/>
      <c r="B96" s="18"/>
      <c r="C96" s="56" t="s">
        <v>117</v>
      </c>
      <c r="D96" s="17">
        <f t="shared" si="15"/>
        <v>300000</v>
      </c>
      <c r="E96" s="21"/>
      <c r="F96" s="57">
        <f t="shared" si="16"/>
        <v>300000</v>
      </c>
      <c r="G96" s="58">
        <v>300000</v>
      </c>
      <c r="H96" s="58">
        <f>5291+11445</f>
        <v>16736</v>
      </c>
      <c r="I96" s="17">
        <f t="shared" si="19"/>
        <v>5.578666666666667</v>
      </c>
      <c r="J96" s="52">
        <f t="shared" si="17"/>
        <v>8.368</v>
      </c>
      <c r="L96" s="46">
        <f t="shared" si="12"/>
        <v>183264</v>
      </c>
      <c r="M96" s="67"/>
      <c r="N96" s="67"/>
      <c r="O96" s="67"/>
      <c r="P96" s="67"/>
      <c r="Q96" s="67"/>
      <c r="R96" s="67">
        <f>10000</f>
        <v>10000</v>
      </c>
      <c r="S96" s="67">
        <f>68000</f>
        <v>68000</v>
      </c>
      <c r="T96" s="67"/>
      <c r="U96" s="67">
        <f>200000-10000-68000</f>
        <v>122000</v>
      </c>
      <c r="V96" s="67">
        <v>100000</v>
      </c>
      <c r="W96" s="67"/>
      <c r="X96" s="67"/>
      <c r="Y96" s="46">
        <f t="shared" si="13"/>
        <v>300000</v>
      </c>
      <c r="Z96" s="49">
        <f t="shared" si="18"/>
        <v>0</v>
      </c>
    </row>
    <row r="97" spans="1:26" ht="18.75">
      <c r="A97" s="63"/>
      <c r="B97" s="18"/>
      <c r="C97" s="56" t="s">
        <v>131</v>
      </c>
      <c r="D97" s="17">
        <f t="shared" si="15"/>
        <v>600000</v>
      </c>
      <c r="E97" s="21"/>
      <c r="F97" s="57">
        <f t="shared" si="16"/>
        <v>600000</v>
      </c>
      <c r="G97" s="58">
        <f>600000</f>
        <v>600000</v>
      </c>
      <c r="H97" s="58"/>
      <c r="I97" s="17"/>
      <c r="J97" s="52"/>
      <c r="L97" s="46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46"/>
      <c r="Z97" s="49">
        <f t="shared" si="18"/>
        <v>-600000</v>
      </c>
    </row>
    <row r="98" spans="1:26" ht="18.75">
      <c r="A98" s="63"/>
      <c r="B98" s="18"/>
      <c r="C98" s="56" t="s">
        <v>132</v>
      </c>
      <c r="D98" s="17">
        <f t="shared" si="15"/>
        <v>350000</v>
      </c>
      <c r="E98" s="21"/>
      <c r="F98" s="57">
        <f t="shared" si="16"/>
        <v>350000</v>
      </c>
      <c r="G98" s="58">
        <f>350000</f>
        <v>350000</v>
      </c>
      <c r="H98" s="58"/>
      <c r="I98" s="17"/>
      <c r="J98" s="52"/>
      <c r="L98" s="46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46"/>
      <c r="Z98" s="49">
        <f t="shared" si="18"/>
        <v>-350000</v>
      </c>
    </row>
    <row r="99" spans="1:26" ht="37.5">
      <c r="A99" s="63"/>
      <c r="B99" s="18"/>
      <c r="C99" s="56" t="s">
        <v>94</v>
      </c>
      <c r="D99" s="17">
        <f t="shared" si="15"/>
        <v>3556000</v>
      </c>
      <c r="E99" s="21"/>
      <c r="F99" s="57">
        <f t="shared" si="16"/>
        <v>3556000</v>
      </c>
      <c r="G99" s="57">
        <v>3556000</v>
      </c>
      <c r="H99" s="58">
        <f>408764+2547908.4+34315.41</f>
        <v>2990987.81</v>
      </c>
      <c r="I99" s="17">
        <f t="shared" si="19"/>
        <v>84.11101827896513</v>
      </c>
      <c r="J99" s="52">
        <f t="shared" si="17"/>
        <v>98.16172661634394</v>
      </c>
      <c r="L99" s="46">
        <f t="shared" si="12"/>
        <v>56012.189999999944</v>
      </c>
      <c r="M99" s="67"/>
      <c r="N99" s="67"/>
      <c r="O99" s="67"/>
      <c r="P99" s="67">
        <f>2330000-1000000</f>
        <v>1330000</v>
      </c>
      <c r="Q99" s="67">
        <f>795000-500000+591000</f>
        <v>886000</v>
      </c>
      <c r="R99" s="67">
        <f>431000+400000</f>
        <v>831000</v>
      </c>
      <c r="S99" s="68"/>
      <c r="T99" s="67"/>
      <c r="U99" s="67"/>
      <c r="V99" s="67">
        <f>1000000-991000</f>
        <v>9000</v>
      </c>
      <c r="W99" s="67">
        <v>500000</v>
      </c>
      <c r="X99" s="67"/>
      <c r="Y99" s="46">
        <f t="shared" si="13"/>
        <v>3556000</v>
      </c>
      <c r="Z99" s="49">
        <f t="shared" si="18"/>
        <v>0</v>
      </c>
    </row>
    <row r="100" spans="1:26" ht="37.5">
      <c r="A100" s="63"/>
      <c r="B100" s="18"/>
      <c r="C100" s="56" t="s">
        <v>95</v>
      </c>
      <c r="D100" s="17">
        <f t="shared" si="15"/>
        <v>5963000</v>
      </c>
      <c r="E100" s="21"/>
      <c r="F100" s="57">
        <f t="shared" si="16"/>
        <v>5963000</v>
      </c>
      <c r="G100" s="57">
        <v>5963000</v>
      </c>
      <c r="H100" s="58"/>
      <c r="I100" s="39">
        <f t="shared" si="19"/>
        <v>0</v>
      </c>
      <c r="J100" s="52">
        <f t="shared" si="17"/>
        <v>0</v>
      </c>
      <c r="L100" s="46">
        <f t="shared" si="12"/>
        <v>1000000</v>
      </c>
      <c r="M100" s="67"/>
      <c r="N100" s="67"/>
      <c r="O100" s="67"/>
      <c r="P100" s="67">
        <f>1600000-600000-1000000</f>
        <v>0</v>
      </c>
      <c r="Q100" s="67">
        <f>630000-500000-130000</f>
        <v>0</v>
      </c>
      <c r="R100" s="67">
        <f>1864050-1000000-864050</f>
        <v>0</v>
      </c>
      <c r="S100" s="68"/>
      <c r="T100" s="67"/>
      <c r="U100" s="67">
        <v>1000000</v>
      </c>
      <c r="V100" s="67">
        <v>600000</v>
      </c>
      <c r="W100" s="67">
        <f>500000+1994050</f>
        <v>2494050</v>
      </c>
      <c r="X100" s="67">
        <f>868950+1000000</f>
        <v>1868950</v>
      </c>
      <c r="Y100" s="46">
        <f t="shared" si="13"/>
        <v>5963000</v>
      </c>
      <c r="Z100" s="49">
        <f t="shared" si="18"/>
        <v>0</v>
      </c>
    </row>
    <row r="101" spans="1:26" ht="18.75">
      <c r="A101" s="63"/>
      <c r="B101" s="18"/>
      <c r="C101" s="56" t="s">
        <v>96</v>
      </c>
      <c r="D101" s="17">
        <f t="shared" si="15"/>
        <v>36591901</v>
      </c>
      <c r="E101" s="21"/>
      <c r="F101" s="57">
        <f t="shared" si="16"/>
        <v>36591901</v>
      </c>
      <c r="G101" s="57">
        <f>42821003-3000000-11200000+8422898-650000+198000</f>
        <v>36591901</v>
      </c>
      <c r="H101" s="58">
        <f>7000000+3000000+112682.22-2000000+4000000</f>
        <v>12112682.22</v>
      </c>
      <c r="I101" s="17">
        <f t="shared" si="19"/>
        <v>33.102085130805314</v>
      </c>
      <c r="J101" s="52">
        <f t="shared" si="17"/>
        <v>58.206065449303225</v>
      </c>
      <c r="L101" s="46">
        <f t="shared" si="12"/>
        <v>8697317.78</v>
      </c>
      <c r="M101" s="67"/>
      <c r="N101" s="67"/>
      <c r="O101" s="76">
        <v>4200000</v>
      </c>
      <c r="P101" s="76">
        <f>8000000-2200000</f>
        <v>5800000</v>
      </c>
      <c r="Q101" s="76">
        <f>7100000-5000000-2100000</f>
        <v>0</v>
      </c>
      <c r="R101" s="76">
        <f>5100000-4000000-1100000</f>
        <v>0</v>
      </c>
      <c r="S101" s="76">
        <f>5200000-5000000+400000+4000000</f>
        <v>4600000</v>
      </c>
      <c r="T101" s="76">
        <f>5080000-5000000+5000000-4000000</f>
        <v>1080000</v>
      </c>
      <c r="U101" s="76">
        <v>5130000</v>
      </c>
      <c r="V101" s="76"/>
      <c r="W101" s="76">
        <f>5000000-3668958.4</f>
        <v>1331041.6</v>
      </c>
      <c r="X101" s="76">
        <f>11003+4000000+3668958.4-1200000+198000</f>
        <v>6677961.4</v>
      </c>
      <c r="Y101" s="46">
        <f t="shared" si="13"/>
        <v>28819003</v>
      </c>
      <c r="Z101" s="49">
        <f t="shared" si="18"/>
        <v>-7772898</v>
      </c>
    </row>
    <row r="102" spans="1:26" ht="18.75">
      <c r="A102" s="63"/>
      <c r="B102" s="18"/>
      <c r="C102" s="56" t="s">
        <v>133</v>
      </c>
      <c r="D102" s="17">
        <f t="shared" si="15"/>
        <v>430000</v>
      </c>
      <c r="E102" s="21"/>
      <c r="F102" s="57">
        <f t="shared" si="16"/>
        <v>430000</v>
      </c>
      <c r="G102" s="57">
        <f>430000</f>
        <v>430000</v>
      </c>
      <c r="H102" s="58"/>
      <c r="I102" s="17"/>
      <c r="J102" s="52"/>
      <c r="L102" s="46"/>
      <c r="M102" s="67"/>
      <c r="N102" s="67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46"/>
      <c r="Z102" s="49">
        <f t="shared" si="18"/>
        <v>-430000</v>
      </c>
    </row>
    <row r="103" spans="1:26" ht="18.75">
      <c r="A103" s="63"/>
      <c r="B103" s="18"/>
      <c r="C103" s="56" t="s">
        <v>116</v>
      </c>
      <c r="D103" s="17">
        <f t="shared" si="15"/>
        <v>5300000</v>
      </c>
      <c r="E103" s="21"/>
      <c r="F103" s="57">
        <f t="shared" si="16"/>
        <v>5300000</v>
      </c>
      <c r="G103" s="57">
        <f>500000+4800000</f>
        <v>5300000</v>
      </c>
      <c r="H103" s="58"/>
      <c r="I103" s="17"/>
      <c r="J103" s="52">
        <f t="shared" si="17"/>
        <v>0</v>
      </c>
      <c r="L103" s="46">
        <f t="shared" si="12"/>
        <v>400000</v>
      </c>
      <c r="M103" s="67"/>
      <c r="N103" s="67"/>
      <c r="O103" s="67"/>
      <c r="P103" s="67"/>
      <c r="Q103" s="67"/>
      <c r="R103" s="67"/>
      <c r="S103" s="67"/>
      <c r="T103" s="67"/>
      <c r="U103" s="76">
        <v>400000</v>
      </c>
      <c r="V103" s="76">
        <v>100000</v>
      </c>
      <c r="W103" s="67"/>
      <c r="X103" s="67"/>
      <c r="Y103" s="46">
        <f t="shared" si="13"/>
        <v>500000</v>
      </c>
      <c r="Z103" s="49">
        <f t="shared" si="18"/>
        <v>-4800000</v>
      </c>
    </row>
    <row r="104" spans="1:26" ht="18.75">
      <c r="A104" s="63"/>
      <c r="B104" s="18"/>
      <c r="C104" s="56" t="s">
        <v>97</v>
      </c>
      <c r="D104" s="17">
        <f t="shared" si="15"/>
        <v>150000</v>
      </c>
      <c r="E104" s="21"/>
      <c r="F104" s="57">
        <f t="shared" si="16"/>
        <v>150000</v>
      </c>
      <c r="G104" s="57">
        <v>150000</v>
      </c>
      <c r="H104" s="58"/>
      <c r="I104" s="39">
        <f t="shared" si="19"/>
        <v>0</v>
      </c>
      <c r="J104" s="52">
        <f t="shared" si="17"/>
        <v>0</v>
      </c>
      <c r="L104" s="46">
        <f t="shared" si="12"/>
        <v>144050</v>
      </c>
      <c r="M104" s="67"/>
      <c r="N104" s="67"/>
      <c r="O104" s="67"/>
      <c r="P104" s="67"/>
      <c r="Q104" s="67">
        <f>150000-150000</f>
        <v>0</v>
      </c>
      <c r="R104" s="67"/>
      <c r="S104" s="67">
        <f>109050-68000</f>
        <v>41050</v>
      </c>
      <c r="T104" s="67"/>
      <c r="U104" s="67">
        <f>35000+68000</f>
        <v>103000</v>
      </c>
      <c r="V104" s="67"/>
      <c r="W104" s="67">
        <f>5950</f>
        <v>5950</v>
      </c>
      <c r="X104" s="67"/>
      <c r="Y104" s="46">
        <f t="shared" si="13"/>
        <v>150000</v>
      </c>
      <c r="Z104" s="49">
        <f t="shared" si="18"/>
        <v>0</v>
      </c>
    </row>
    <row r="105" spans="1:26" ht="18.75">
      <c r="A105" s="63"/>
      <c r="B105" s="18"/>
      <c r="C105" s="56" t="s">
        <v>98</v>
      </c>
      <c r="D105" s="17">
        <f t="shared" si="15"/>
        <v>0</v>
      </c>
      <c r="E105" s="21"/>
      <c r="F105" s="57">
        <f t="shared" si="16"/>
        <v>0</v>
      </c>
      <c r="G105" s="58">
        <f>460000-350000-110000</f>
        <v>0</v>
      </c>
      <c r="H105" s="58"/>
      <c r="I105" s="39" t="e">
        <f t="shared" si="19"/>
        <v>#DIV/0!</v>
      </c>
      <c r="J105" s="52">
        <f t="shared" si="17"/>
        <v>0</v>
      </c>
      <c r="L105" s="46">
        <f t="shared" si="12"/>
        <v>460000</v>
      </c>
      <c r="M105" s="67"/>
      <c r="N105" s="67"/>
      <c r="O105" s="67"/>
      <c r="P105" s="67"/>
      <c r="Q105" s="67">
        <f>210000-210000</f>
        <v>0</v>
      </c>
      <c r="R105" s="67">
        <f>250000-250000</f>
        <v>0</v>
      </c>
      <c r="S105" s="67">
        <f>460000</f>
        <v>460000</v>
      </c>
      <c r="T105" s="67"/>
      <c r="U105" s="67"/>
      <c r="V105" s="67"/>
      <c r="W105" s="67"/>
      <c r="X105" s="67"/>
      <c r="Y105" s="46">
        <f t="shared" si="13"/>
        <v>460000</v>
      </c>
      <c r="Z105" s="49">
        <f t="shared" si="18"/>
        <v>460000</v>
      </c>
    </row>
    <row r="106" spans="1:26" ht="18.75">
      <c r="A106" s="63"/>
      <c r="B106" s="18"/>
      <c r="C106" s="56" t="s">
        <v>99</v>
      </c>
      <c r="D106" s="17">
        <f t="shared" si="15"/>
        <v>560000</v>
      </c>
      <c r="E106" s="21"/>
      <c r="F106" s="57">
        <f t="shared" si="16"/>
        <v>560000</v>
      </c>
      <c r="G106" s="58">
        <v>560000</v>
      </c>
      <c r="H106" s="58">
        <f>276237.6</f>
        <v>276237.6</v>
      </c>
      <c r="I106" s="17">
        <f t="shared" si="19"/>
        <v>49.32814285714285</v>
      </c>
      <c r="J106" s="52">
        <f t="shared" si="17"/>
        <v>49.32814285714285</v>
      </c>
      <c r="L106" s="46">
        <f aca="true" t="shared" si="20" ref="L106:L124">(M106+N106+O106+P106+Q106+R106+S106+T106+U106)-H106</f>
        <v>283762.4</v>
      </c>
      <c r="M106" s="67"/>
      <c r="N106" s="67"/>
      <c r="O106" s="67"/>
      <c r="P106" s="67">
        <v>276237.6</v>
      </c>
      <c r="Q106" s="67">
        <f>176200-130387.6</f>
        <v>45812.399999999994</v>
      </c>
      <c r="R106" s="67">
        <f>107562.4-107562.4</f>
        <v>0</v>
      </c>
      <c r="S106" s="67">
        <f>237950</f>
        <v>237950</v>
      </c>
      <c r="T106" s="67"/>
      <c r="U106" s="67"/>
      <c r="V106" s="67"/>
      <c r="W106" s="67"/>
      <c r="X106" s="67"/>
      <c r="Y106" s="46">
        <f t="shared" si="13"/>
        <v>560000</v>
      </c>
      <c r="Z106" s="49">
        <f t="shared" si="18"/>
        <v>0</v>
      </c>
    </row>
    <row r="107" spans="1:26" ht="18.75">
      <c r="A107" s="63"/>
      <c r="B107" s="18"/>
      <c r="C107" s="56" t="s">
        <v>100</v>
      </c>
      <c r="D107" s="17">
        <f t="shared" si="15"/>
        <v>680000</v>
      </c>
      <c r="E107" s="21"/>
      <c r="F107" s="57">
        <f t="shared" si="16"/>
        <v>680000</v>
      </c>
      <c r="G107" s="58">
        <v>680000</v>
      </c>
      <c r="H107" s="58"/>
      <c r="I107" s="39">
        <f t="shared" si="19"/>
        <v>0</v>
      </c>
      <c r="J107" s="52">
        <f t="shared" si="17"/>
        <v>0</v>
      </c>
      <c r="L107" s="46">
        <f t="shared" si="20"/>
        <v>500000</v>
      </c>
      <c r="M107" s="67"/>
      <c r="N107" s="67"/>
      <c r="O107" s="67"/>
      <c r="P107" s="67"/>
      <c r="Q107" s="67">
        <v>100000</v>
      </c>
      <c r="R107" s="67">
        <v>100000</v>
      </c>
      <c r="S107" s="67">
        <v>100000</v>
      </c>
      <c r="T107" s="67">
        <v>100000</v>
      </c>
      <c r="U107" s="67">
        <v>100000</v>
      </c>
      <c r="V107" s="67">
        <v>180000</v>
      </c>
      <c r="W107" s="67"/>
      <c r="X107" s="67"/>
      <c r="Y107" s="46">
        <f t="shared" si="13"/>
        <v>680000</v>
      </c>
      <c r="Z107" s="49">
        <f t="shared" si="18"/>
        <v>0</v>
      </c>
    </row>
    <row r="108" spans="1:26" ht="18.75">
      <c r="A108" s="63"/>
      <c r="B108" s="18"/>
      <c r="C108" s="56" t="s">
        <v>134</v>
      </c>
      <c r="D108" s="17">
        <f t="shared" si="15"/>
        <v>800000</v>
      </c>
      <c r="E108" s="21"/>
      <c r="F108" s="57">
        <f t="shared" si="16"/>
        <v>800000</v>
      </c>
      <c r="G108" s="58">
        <f>800000</f>
        <v>800000</v>
      </c>
      <c r="H108" s="58"/>
      <c r="I108" s="39"/>
      <c r="J108" s="52"/>
      <c r="L108" s="4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46"/>
      <c r="Z108" s="49">
        <f t="shared" si="18"/>
        <v>-800000</v>
      </c>
    </row>
    <row r="109" spans="1:26" ht="18.75">
      <c r="A109" s="63"/>
      <c r="B109" s="18"/>
      <c r="C109" s="56" t="s">
        <v>135</v>
      </c>
      <c r="D109" s="17">
        <f t="shared" si="15"/>
        <v>400000</v>
      </c>
      <c r="E109" s="21"/>
      <c r="F109" s="57">
        <f t="shared" si="16"/>
        <v>400000</v>
      </c>
      <c r="G109" s="58">
        <f>400000</f>
        <v>400000</v>
      </c>
      <c r="H109" s="58"/>
      <c r="I109" s="39"/>
      <c r="J109" s="52"/>
      <c r="L109" s="4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46"/>
      <c r="Z109" s="49">
        <f t="shared" si="18"/>
        <v>-400000</v>
      </c>
    </row>
    <row r="110" spans="1:26" ht="18.75">
      <c r="A110" s="63"/>
      <c r="B110" s="18"/>
      <c r="C110" s="56" t="s">
        <v>136</v>
      </c>
      <c r="D110" s="17">
        <f t="shared" si="15"/>
        <v>750000</v>
      </c>
      <c r="E110" s="21"/>
      <c r="F110" s="57">
        <f t="shared" si="16"/>
        <v>750000</v>
      </c>
      <c r="G110" s="58">
        <f>750000</f>
        <v>750000</v>
      </c>
      <c r="H110" s="58"/>
      <c r="I110" s="39"/>
      <c r="J110" s="52"/>
      <c r="L110" s="46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46"/>
      <c r="Z110" s="49">
        <f t="shared" si="18"/>
        <v>-750000</v>
      </c>
    </row>
    <row r="111" spans="1:26" ht="18.75">
      <c r="A111" s="63"/>
      <c r="B111" s="18"/>
      <c r="C111" s="56" t="s">
        <v>101</v>
      </c>
      <c r="D111" s="17">
        <f t="shared" si="15"/>
        <v>8000000</v>
      </c>
      <c r="E111" s="21"/>
      <c r="F111" s="57">
        <f t="shared" si="16"/>
        <v>8000000</v>
      </c>
      <c r="G111" s="57">
        <v>8000000</v>
      </c>
      <c r="H111" s="58">
        <f>3276477.6+1727104.4</f>
        <v>5003582</v>
      </c>
      <c r="I111" s="17">
        <f aca="true" t="shared" si="21" ref="I111:I124">H111/D111*100</f>
        <v>62.544774999999994</v>
      </c>
      <c r="J111" s="52">
        <f t="shared" si="17"/>
        <v>76.81274178692048</v>
      </c>
      <c r="L111" s="46">
        <f t="shared" si="20"/>
        <v>1510418</v>
      </c>
      <c r="M111" s="67"/>
      <c r="N111" s="67"/>
      <c r="O111" s="67">
        <v>3850000</v>
      </c>
      <c r="P111" s="67">
        <f>2650000-1000000-450000</f>
        <v>1200000</v>
      </c>
      <c r="Q111" s="67">
        <f>1100000-1100000</f>
        <v>0</v>
      </c>
      <c r="R111" s="67">
        <f>200000-200000</f>
        <v>0</v>
      </c>
      <c r="S111" s="67">
        <f>200000+1750000-486000</f>
        <v>1464000</v>
      </c>
      <c r="T111" s="67"/>
      <c r="U111" s="67"/>
      <c r="V111" s="67">
        <f>1000000+486000</f>
        <v>1486000</v>
      </c>
      <c r="W111" s="67"/>
      <c r="X111" s="67"/>
      <c r="Y111" s="46">
        <f t="shared" si="13"/>
        <v>8000000</v>
      </c>
      <c r="Z111" s="49">
        <f t="shared" si="18"/>
        <v>0</v>
      </c>
    </row>
    <row r="112" spans="1:26" ht="37.5">
      <c r="A112" s="63"/>
      <c r="B112" s="18"/>
      <c r="C112" s="56" t="s">
        <v>137</v>
      </c>
      <c r="D112" s="17">
        <f t="shared" si="15"/>
        <v>350000</v>
      </c>
      <c r="E112" s="21"/>
      <c r="F112" s="57">
        <f t="shared" si="16"/>
        <v>350000</v>
      </c>
      <c r="G112" s="57">
        <f>350000</f>
        <v>350000</v>
      </c>
      <c r="H112" s="58"/>
      <c r="I112" s="17"/>
      <c r="J112" s="52"/>
      <c r="L112" s="4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46"/>
      <c r="Z112" s="49">
        <f t="shared" si="18"/>
        <v>-350000</v>
      </c>
    </row>
    <row r="113" spans="1:26" ht="18.75">
      <c r="A113" s="63"/>
      <c r="B113" s="18"/>
      <c r="C113" s="56" t="s">
        <v>138</v>
      </c>
      <c r="D113" s="17">
        <f t="shared" si="15"/>
        <v>500000</v>
      </c>
      <c r="E113" s="21"/>
      <c r="F113" s="57">
        <f t="shared" si="16"/>
        <v>500000</v>
      </c>
      <c r="G113" s="57">
        <f>500000</f>
        <v>500000</v>
      </c>
      <c r="H113" s="58"/>
      <c r="I113" s="17"/>
      <c r="J113" s="52"/>
      <c r="L113" s="4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46"/>
      <c r="Z113" s="49">
        <f t="shared" si="18"/>
        <v>-500000</v>
      </c>
    </row>
    <row r="114" spans="1:26" ht="37.5">
      <c r="A114" s="63"/>
      <c r="B114" s="18"/>
      <c r="C114" s="56" t="s">
        <v>102</v>
      </c>
      <c r="D114" s="17">
        <f t="shared" si="15"/>
        <v>1376503.16</v>
      </c>
      <c r="E114" s="21"/>
      <c r="F114" s="57">
        <f t="shared" si="16"/>
        <v>1376503.16</v>
      </c>
      <c r="G114" s="58">
        <v>1376503.16</v>
      </c>
      <c r="H114" s="58">
        <f>643647</f>
        <v>643647</v>
      </c>
      <c r="I114" s="17">
        <f t="shared" si="21"/>
        <v>46.75957300381352</v>
      </c>
      <c r="J114" s="52">
        <f t="shared" si="17"/>
        <v>46.75957300381352</v>
      </c>
      <c r="L114" s="46">
        <f t="shared" si="20"/>
        <v>732856.1599999999</v>
      </c>
      <c r="M114" s="67"/>
      <c r="N114" s="67"/>
      <c r="O114" s="67"/>
      <c r="P114" s="67">
        <v>643647</v>
      </c>
      <c r="Q114" s="67">
        <v>295000</v>
      </c>
      <c r="R114" s="67">
        <v>437856.16</v>
      </c>
      <c r="S114" s="68"/>
      <c r="T114" s="67"/>
      <c r="U114" s="67"/>
      <c r="V114" s="67"/>
      <c r="W114" s="67"/>
      <c r="X114" s="67"/>
      <c r="Y114" s="46">
        <f t="shared" si="13"/>
        <v>1376503.16</v>
      </c>
      <c r="Z114" s="49">
        <f t="shared" si="18"/>
        <v>0</v>
      </c>
    </row>
    <row r="115" spans="1:26" ht="37.5" hidden="1">
      <c r="A115" s="63"/>
      <c r="B115" s="18"/>
      <c r="C115" s="56" t="s">
        <v>103</v>
      </c>
      <c r="D115" s="17">
        <f t="shared" si="15"/>
        <v>0</v>
      </c>
      <c r="E115" s="21"/>
      <c r="F115" s="57">
        <f t="shared" si="16"/>
        <v>0</v>
      </c>
      <c r="G115" s="58">
        <f>2000000-2000000</f>
        <v>0</v>
      </c>
      <c r="H115" s="58"/>
      <c r="I115" s="39" t="e">
        <f t="shared" si="21"/>
        <v>#DIV/0!</v>
      </c>
      <c r="J115" s="52" t="e">
        <f t="shared" si="17"/>
        <v>#DIV/0!</v>
      </c>
      <c r="L115" s="46">
        <f t="shared" si="20"/>
        <v>0</v>
      </c>
      <c r="M115" s="67"/>
      <c r="N115" s="67"/>
      <c r="O115" s="67"/>
      <c r="P115" s="67">
        <f>450000-450000</f>
        <v>0</v>
      </c>
      <c r="Q115" s="67">
        <f>359000-359000</f>
        <v>0</v>
      </c>
      <c r="R115" s="67">
        <f>400000-318995.42-81004.58</f>
        <v>0</v>
      </c>
      <c r="S115" s="67">
        <f>350000-350000</f>
        <v>0</v>
      </c>
      <c r="T115" s="67">
        <f>341800-341800</f>
        <v>0</v>
      </c>
      <c r="U115" s="67">
        <f>99200-99200</f>
        <v>0</v>
      </c>
      <c r="V115" s="67"/>
      <c r="W115" s="67"/>
      <c r="X115" s="67">
        <f>318995.42-318995.42</f>
        <v>0</v>
      </c>
      <c r="Y115" s="46">
        <f t="shared" si="13"/>
        <v>0</v>
      </c>
      <c r="Z115" s="49">
        <f t="shared" si="18"/>
        <v>0</v>
      </c>
    </row>
    <row r="116" spans="1:26" ht="37.5">
      <c r="A116" s="63"/>
      <c r="B116" s="18"/>
      <c r="C116" s="56" t="s">
        <v>104</v>
      </c>
      <c r="D116" s="17">
        <f t="shared" si="15"/>
        <v>0</v>
      </c>
      <c r="E116" s="21"/>
      <c r="F116" s="57">
        <f t="shared" si="16"/>
        <v>0</v>
      </c>
      <c r="G116" s="58">
        <f>1050767.76-250767.76-800000</f>
        <v>0</v>
      </c>
      <c r="H116" s="58"/>
      <c r="I116" s="39" t="e">
        <f t="shared" si="21"/>
        <v>#DIV/0!</v>
      </c>
      <c r="J116" s="52">
        <f t="shared" si="17"/>
        <v>0</v>
      </c>
      <c r="L116" s="46">
        <f t="shared" si="20"/>
        <v>827052.96</v>
      </c>
      <c r="M116" s="67"/>
      <c r="N116" s="67"/>
      <c r="O116" s="67"/>
      <c r="P116" s="67">
        <f>430000-223714.8</f>
        <v>206285.2</v>
      </c>
      <c r="Q116" s="67">
        <v>150000</v>
      </c>
      <c r="R116" s="67">
        <v>230600</v>
      </c>
      <c r="S116" s="67">
        <v>200000</v>
      </c>
      <c r="T116" s="67">
        <v>40167.76</v>
      </c>
      <c r="U116" s="67"/>
      <c r="V116" s="67">
        <v>223714.8</v>
      </c>
      <c r="W116" s="67"/>
      <c r="X116" s="67"/>
      <c r="Y116" s="46">
        <f t="shared" si="13"/>
        <v>1050767.76</v>
      </c>
      <c r="Z116" s="49">
        <f t="shared" si="18"/>
        <v>1050767.76</v>
      </c>
    </row>
    <row r="117" spans="1:26" ht="37.5">
      <c r="A117" s="63"/>
      <c r="B117" s="18"/>
      <c r="C117" s="56" t="s">
        <v>105</v>
      </c>
      <c r="D117" s="17">
        <f t="shared" si="15"/>
        <v>0</v>
      </c>
      <c r="E117" s="21"/>
      <c r="F117" s="57">
        <f t="shared" si="16"/>
        <v>0</v>
      </c>
      <c r="G117" s="58">
        <f>676676.89-676676.89</f>
        <v>0</v>
      </c>
      <c r="H117" s="58"/>
      <c r="I117" s="39" t="e">
        <f t="shared" si="21"/>
        <v>#DIV/0!</v>
      </c>
      <c r="J117" s="52">
        <f t="shared" si="17"/>
        <v>0</v>
      </c>
      <c r="L117" s="46">
        <f t="shared" si="20"/>
        <v>676676.89</v>
      </c>
      <c r="M117" s="67"/>
      <c r="N117" s="67"/>
      <c r="O117" s="67"/>
      <c r="P117" s="67">
        <v>385000</v>
      </c>
      <c r="Q117" s="67">
        <v>100000</v>
      </c>
      <c r="R117" s="67">
        <v>100000</v>
      </c>
      <c r="S117" s="67">
        <v>91676.89</v>
      </c>
      <c r="T117" s="67"/>
      <c r="U117" s="67"/>
      <c r="V117" s="67"/>
      <c r="W117" s="67"/>
      <c r="X117" s="67"/>
      <c r="Y117" s="46">
        <f t="shared" si="13"/>
        <v>676676.89</v>
      </c>
      <c r="Z117" s="49">
        <f t="shared" si="18"/>
        <v>676676.89</v>
      </c>
    </row>
    <row r="118" spans="1:26" ht="37.5">
      <c r="A118" s="63"/>
      <c r="B118" s="18"/>
      <c r="C118" s="56" t="s">
        <v>106</v>
      </c>
      <c r="D118" s="17">
        <f t="shared" si="15"/>
        <v>2450000</v>
      </c>
      <c r="E118" s="21"/>
      <c r="F118" s="57">
        <f t="shared" si="16"/>
        <v>2450000</v>
      </c>
      <c r="G118" s="58">
        <v>2450000</v>
      </c>
      <c r="H118" s="58">
        <f>597711</f>
        <v>597711</v>
      </c>
      <c r="I118" s="17">
        <f t="shared" si="21"/>
        <v>24.396367346938774</v>
      </c>
      <c r="J118" s="52">
        <f t="shared" si="17"/>
        <v>91.95553846153847</v>
      </c>
      <c r="L118" s="46">
        <f t="shared" si="20"/>
        <v>52289</v>
      </c>
      <c r="M118" s="67"/>
      <c r="N118" s="67"/>
      <c r="O118" s="67"/>
      <c r="P118" s="67">
        <f>1186087-586087</f>
        <v>600000</v>
      </c>
      <c r="Q118" s="67">
        <f>429100-429100</f>
        <v>0</v>
      </c>
      <c r="R118" s="67">
        <f>796987.8-500000-284813</f>
        <v>12174.800000000047</v>
      </c>
      <c r="S118" s="67">
        <v>37825.2</v>
      </c>
      <c r="T118" s="67"/>
      <c r="U118" s="67"/>
      <c r="V118" s="67">
        <f>1300000</f>
        <v>1300000</v>
      </c>
      <c r="W118" s="67"/>
      <c r="X118" s="67">
        <v>500000</v>
      </c>
      <c r="Y118" s="46">
        <f t="shared" si="13"/>
        <v>2450000</v>
      </c>
      <c r="Z118" s="49">
        <f t="shared" si="18"/>
        <v>0</v>
      </c>
    </row>
    <row r="119" spans="1:26" ht="37.5">
      <c r="A119" s="63"/>
      <c r="B119" s="18"/>
      <c r="C119" s="56" t="s">
        <v>107</v>
      </c>
      <c r="D119" s="17">
        <f t="shared" si="15"/>
        <v>9834000</v>
      </c>
      <c r="E119" s="21"/>
      <c r="F119" s="57">
        <f t="shared" si="16"/>
        <v>9834000</v>
      </c>
      <c r="G119" s="57">
        <v>9834000</v>
      </c>
      <c r="H119" s="58">
        <f>33264+9234+1620974.51+23480.87+1785858</f>
        <v>3472811.38</v>
      </c>
      <c r="I119" s="17">
        <f t="shared" si="21"/>
        <v>35.31433170632499</v>
      </c>
      <c r="J119" s="52">
        <f t="shared" si="17"/>
        <v>53.54319118100525</v>
      </c>
      <c r="L119" s="46">
        <f t="shared" si="20"/>
        <v>3013188.62</v>
      </c>
      <c r="M119" s="67"/>
      <c r="N119" s="67"/>
      <c r="O119" s="67"/>
      <c r="P119" s="67">
        <f>2400000-1000000+586087</f>
        <v>1986087</v>
      </c>
      <c r="Q119" s="67">
        <f>1000000-800000+100000+429100</f>
        <v>729100</v>
      </c>
      <c r="R119" s="67">
        <f>284813</f>
        <v>284813</v>
      </c>
      <c r="S119" s="67">
        <f>486000</f>
        <v>486000</v>
      </c>
      <c r="T119" s="67">
        <v>3000000</v>
      </c>
      <c r="U119" s="67"/>
      <c r="V119" s="67">
        <f>1434000+1000000-100000-1786000</f>
        <v>548000</v>
      </c>
      <c r="W119" s="67">
        <f>1000000+800000</f>
        <v>1800000</v>
      </c>
      <c r="X119" s="67">
        <v>1000000</v>
      </c>
      <c r="Y119" s="46">
        <f t="shared" si="13"/>
        <v>9834000</v>
      </c>
      <c r="Z119" s="49">
        <f t="shared" si="18"/>
        <v>0</v>
      </c>
    </row>
    <row r="120" spans="1:26" ht="37.5">
      <c r="A120" s="26"/>
      <c r="B120" s="64"/>
      <c r="C120" s="56" t="s">
        <v>108</v>
      </c>
      <c r="D120" s="17">
        <f t="shared" si="15"/>
        <v>315692.7599999998</v>
      </c>
      <c r="E120" s="21"/>
      <c r="F120" s="57">
        <f t="shared" si="16"/>
        <v>315692.7599999998</v>
      </c>
      <c r="G120" s="57">
        <f>8567000-8251307.24</f>
        <v>315692.7599999998</v>
      </c>
      <c r="H120" s="58">
        <f>15646</f>
        <v>15646</v>
      </c>
      <c r="I120" s="17">
        <f t="shared" si="21"/>
        <v>4.956084517110881</v>
      </c>
      <c r="J120" s="52">
        <f t="shared" si="17"/>
        <v>5.063430420711974</v>
      </c>
      <c r="L120" s="46">
        <f t="shared" si="20"/>
        <v>293354</v>
      </c>
      <c r="M120" s="67"/>
      <c r="N120" s="67"/>
      <c r="O120" s="67"/>
      <c r="P120" s="67"/>
      <c r="Q120" s="67">
        <f>2400000-1400000-591000-100000-293000</f>
        <v>16000</v>
      </c>
      <c r="R120" s="67">
        <f>2400000-2000000-400000</f>
        <v>0</v>
      </c>
      <c r="S120" s="67">
        <f>293000</f>
        <v>293000</v>
      </c>
      <c r="T120" s="67"/>
      <c r="U120" s="67"/>
      <c r="V120" s="67">
        <f>991000+100000</f>
        <v>1091000</v>
      </c>
      <c r="W120" s="67">
        <f>1767000+1400000</f>
        <v>3167000</v>
      </c>
      <c r="X120" s="67">
        <f>2000000+2000000</f>
        <v>4000000</v>
      </c>
      <c r="Y120" s="46">
        <f t="shared" si="13"/>
        <v>8567000</v>
      </c>
      <c r="Z120" s="49">
        <f t="shared" si="18"/>
        <v>8251307.24</v>
      </c>
    </row>
    <row r="121" spans="1:26" ht="37.5">
      <c r="A121" s="26"/>
      <c r="B121" s="64"/>
      <c r="C121" s="56" t="s">
        <v>109</v>
      </c>
      <c r="D121" s="17">
        <f t="shared" si="15"/>
        <v>3033744</v>
      </c>
      <c r="E121" s="21"/>
      <c r="F121" s="57">
        <f t="shared" si="16"/>
        <v>3033744</v>
      </c>
      <c r="G121" s="58">
        <f>6033744-3000000</f>
        <v>3033744</v>
      </c>
      <c r="H121" s="58">
        <f>10927+531193.2+6146.73</f>
        <v>548266.9299999999</v>
      </c>
      <c r="I121" s="17">
        <f t="shared" si="21"/>
        <v>18.072287246385983</v>
      </c>
      <c r="J121" s="52">
        <f t="shared" si="17"/>
        <v>39.16192357142857</v>
      </c>
      <c r="L121" s="46">
        <f t="shared" si="20"/>
        <v>851733.0700000001</v>
      </c>
      <c r="M121" s="67"/>
      <c r="N121" s="67"/>
      <c r="O121" s="67"/>
      <c r="P121" s="76">
        <f>2000000-1000000-450000</f>
        <v>550000</v>
      </c>
      <c r="Q121" s="76">
        <f>1900000-1500000-400000</f>
        <v>0</v>
      </c>
      <c r="R121" s="76"/>
      <c r="S121" s="76">
        <f>850000</f>
        <v>850000</v>
      </c>
      <c r="T121" s="76"/>
      <c r="U121" s="76"/>
      <c r="V121" s="76">
        <f>1000000-1000000</f>
        <v>0</v>
      </c>
      <c r="W121" s="76">
        <f>1133744+1500000-2000000</f>
        <v>633744</v>
      </c>
      <c r="X121" s="76">
        <v>1000000</v>
      </c>
      <c r="Y121" s="46">
        <f t="shared" si="13"/>
        <v>3033744</v>
      </c>
      <c r="Z121" s="49">
        <f t="shared" si="18"/>
        <v>0</v>
      </c>
    </row>
    <row r="122" spans="1:26" ht="37.5">
      <c r="A122" s="26"/>
      <c r="B122" s="64"/>
      <c r="C122" s="56" t="s">
        <v>110</v>
      </c>
      <c r="D122" s="17">
        <f t="shared" si="15"/>
        <v>10100000</v>
      </c>
      <c r="E122" s="21"/>
      <c r="F122" s="57">
        <f t="shared" si="16"/>
        <v>10100000</v>
      </c>
      <c r="G122" s="65">
        <f>100000+10000000</f>
        <v>10100000</v>
      </c>
      <c r="H122" s="58"/>
      <c r="I122" s="39">
        <f t="shared" si="21"/>
        <v>0</v>
      </c>
      <c r="J122" s="52">
        <f t="shared" si="17"/>
        <v>0</v>
      </c>
      <c r="L122" s="46">
        <f t="shared" si="20"/>
        <v>1400000</v>
      </c>
      <c r="M122" s="67"/>
      <c r="N122" s="67"/>
      <c r="O122" s="67"/>
      <c r="P122" s="76">
        <v>70000</v>
      </c>
      <c r="Q122" s="76">
        <v>30000</v>
      </c>
      <c r="R122" s="76"/>
      <c r="S122" s="76">
        <f>100000</f>
        <v>100000</v>
      </c>
      <c r="T122" s="76">
        <f>600000</f>
        <v>600000</v>
      </c>
      <c r="U122" s="76">
        <f>600000</f>
        <v>600000</v>
      </c>
      <c r="V122" s="76">
        <f>4000000</f>
        <v>4000000</v>
      </c>
      <c r="W122" s="76">
        <f>4300000</f>
        <v>4300000</v>
      </c>
      <c r="X122" s="76">
        <v>400000</v>
      </c>
      <c r="Y122" s="46">
        <f t="shared" si="13"/>
        <v>10100000</v>
      </c>
      <c r="Z122" s="49">
        <f t="shared" si="18"/>
        <v>0</v>
      </c>
    </row>
    <row r="123" spans="1:26" ht="18.75">
      <c r="A123" s="63"/>
      <c r="B123" s="18"/>
      <c r="C123" s="56" t="s">
        <v>111</v>
      </c>
      <c r="D123" s="17">
        <f t="shared" si="15"/>
        <v>507975</v>
      </c>
      <c r="E123" s="21"/>
      <c r="F123" s="57">
        <f t="shared" si="16"/>
        <v>507975</v>
      </c>
      <c r="G123" s="65">
        <f>5000000-1936125-1185900-30000-1340000</f>
        <v>507975</v>
      </c>
      <c r="H123" s="13"/>
      <c r="I123" s="39">
        <f t="shared" si="21"/>
        <v>0</v>
      </c>
      <c r="J123" s="52">
        <f t="shared" si="17"/>
        <v>0</v>
      </c>
      <c r="L123" s="46">
        <f t="shared" si="20"/>
        <v>420000</v>
      </c>
      <c r="M123" s="67"/>
      <c r="N123" s="67"/>
      <c r="O123" s="67"/>
      <c r="P123" s="77"/>
      <c r="Q123" s="77"/>
      <c r="R123" s="77">
        <f>900000-800000-30000</f>
        <v>70000</v>
      </c>
      <c r="S123" s="77">
        <f>400000-100000</f>
        <v>300000</v>
      </c>
      <c r="T123" s="77"/>
      <c r="U123" s="77">
        <f>450000-400000</f>
        <v>50000</v>
      </c>
      <c r="V123" s="77">
        <f>120000-100000</f>
        <v>20000</v>
      </c>
      <c r="W123" s="77">
        <v>7975</v>
      </c>
      <c r="X123" s="77">
        <f>800000-740000</f>
        <v>60000</v>
      </c>
      <c r="Y123" s="46">
        <f t="shared" si="13"/>
        <v>507975</v>
      </c>
      <c r="Z123" s="49">
        <f t="shared" si="18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120986745.32</v>
      </c>
      <c r="I124" s="8">
        <f t="shared" si="21"/>
        <v>35.765564321528686</v>
      </c>
      <c r="J124" s="85">
        <f>(H124/(M124+N124+O124+P124+Q124+R124+S124+T124+U124))*100</f>
        <v>70.98600037781492</v>
      </c>
      <c r="L124" s="51">
        <f t="shared" si="20"/>
        <v>49450727.81</v>
      </c>
      <c r="M124" s="51">
        <f>M87+M29+M11</f>
        <v>3250000</v>
      </c>
      <c r="N124" s="51">
        <f aca="true" t="shared" si="22" ref="N124:X124">N87+N29+N11</f>
        <v>3932800</v>
      </c>
      <c r="O124" s="51">
        <f t="shared" si="22"/>
        <v>13642681.91</v>
      </c>
      <c r="P124" s="51">
        <f t="shared" si="22"/>
        <v>35841428.25</v>
      </c>
      <c r="Q124" s="51">
        <f t="shared" si="22"/>
        <v>18462721.119999997</v>
      </c>
      <c r="R124" s="51">
        <f t="shared" si="22"/>
        <v>19785609.630000003</v>
      </c>
      <c r="S124" s="51">
        <f t="shared" si="22"/>
        <v>29407585.61</v>
      </c>
      <c r="T124" s="51">
        <f t="shared" si="22"/>
        <v>24422696.46</v>
      </c>
      <c r="U124" s="51">
        <f t="shared" si="22"/>
        <v>21691950.15</v>
      </c>
      <c r="V124" s="51">
        <f t="shared" si="22"/>
        <v>21285907.950000003</v>
      </c>
      <c r="W124" s="51">
        <f t="shared" si="22"/>
        <v>25684668.119999997</v>
      </c>
      <c r="X124" s="51">
        <f t="shared" si="22"/>
        <v>77646954.97</v>
      </c>
      <c r="Y124" s="46">
        <f t="shared" si="13"/>
        <v>295055004.16999996</v>
      </c>
      <c r="Z124" s="49">
        <f t="shared" si="18"/>
        <v>-43222184.00000006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J21:J28"/>
    <mergeCell ref="J13:J1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2018-09-11T14:10:56Z</dcterms:modified>
  <cp:category/>
  <cp:version/>
  <cp:contentType/>
  <cp:contentStatus/>
</cp:coreProperties>
</file>